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6" activeTab="0"/>
  </bookViews>
  <sheets>
    <sheet name="Hoja1" sheetId="1" r:id="rId1"/>
  </sheets>
  <definedNames>
    <definedName name="_xlnm.Print_Area" localSheetId="0">'Hoja1'!$A$1:$J$1799</definedName>
  </definedNames>
  <calcPr fullCalcOnLoad="1"/>
</workbook>
</file>

<file path=xl/sharedStrings.xml><?xml version="1.0" encoding="utf-8"?>
<sst xmlns="http://schemas.openxmlformats.org/spreadsheetml/2006/main" count="3251" uniqueCount="80">
  <si>
    <t>Base Genesis</t>
  </si>
  <si>
    <t>Blanco PC</t>
  </si>
  <si>
    <t>Amarillo PC</t>
  </si>
  <si>
    <t>Base genesis</t>
  </si>
  <si>
    <t>Rosa fluo PC</t>
  </si>
  <si>
    <t>Amarillo fluor PC</t>
  </si>
  <si>
    <t>Negro PC</t>
  </si>
  <si>
    <t>Naranja PC</t>
  </si>
  <si>
    <t>Blaco PC</t>
  </si>
  <si>
    <t>Azul Fluo PC</t>
  </si>
  <si>
    <t>Azul fluor PC</t>
  </si>
  <si>
    <t>Magenta PC</t>
  </si>
  <si>
    <t xml:space="preserve">Naranja PC </t>
  </si>
  <si>
    <t xml:space="preserve">Amarillo PC </t>
  </si>
  <si>
    <t>Marron PC</t>
  </si>
  <si>
    <t>Rojo fluor PC</t>
  </si>
  <si>
    <t>Rosa fluor PC</t>
  </si>
  <si>
    <t>Azul marino PC</t>
  </si>
  <si>
    <t>Violeta PC</t>
  </si>
  <si>
    <t>Verde PC</t>
  </si>
  <si>
    <t>Purpura fluor PC</t>
  </si>
  <si>
    <t>Prupura fluor PC</t>
  </si>
  <si>
    <t>Rosa fluor pC</t>
  </si>
  <si>
    <t>NegroPC</t>
  </si>
  <si>
    <t>Azul PC</t>
  </si>
  <si>
    <t>Purpura Fluor PC</t>
  </si>
  <si>
    <t xml:space="preserve">Negro PC </t>
  </si>
  <si>
    <t>Amarilo PC</t>
  </si>
  <si>
    <t>Amarilo fluor PC</t>
  </si>
  <si>
    <t xml:space="preserve">Blanco PC </t>
  </si>
  <si>
    <t xml:space="preserve">Verde PC </t>
  </si>
  <si>
    <t>Amarillo fluo PC</t>
  </si>
  <si>
    <t>Amarillo Fluor PC</t>
  </si>
  <si>
    <t xml:space="preserve"> NEGRO 6 </t>
  </si>
  <si>
    <t xml:space="preserve"> NEGRO 7 </t>
  </si>
  <si>
    <t xml:space="preserve"> NEGRO </t>
  </si>
  <si>
    <t xml:space="preserve">AZUL 072 </t>
  </si>
  <si>
    <t xml:space="preserve">COOL GRAY 1 </t>
  </si>
  <si>
    <t xml:space="preserve">COOL GRAY 10 </t>
  </si>
  <si>
    <t xml:space="preserve"> NEGRO 3 </t>
  </si>
  <si>
    <t xml:space="preserve"> NEGRO 4 </t>
  </si>
  <si>
    <t xml:space="preserve">COOL GRAY 11 </t>
  </si>
  <si>
    <t xml:space="preserve">COOL GRAY 2 </t>
  </si>
  <si>
    <t xml:space="preserve"> NEGRO 5 </t>
  </si>
  <si>
    <t xml:space="preserve">COOL GRAY 3 </t>
  </si>
  <si>
    <t xml:space="preserve">NARANJA 021 </t>
  </si>
  <si>
    <t xml:space="preserve">WARM GRAY 1 </t>
  </si>
  <si>
    <t xml:space="preserve">WARM GRAY 10 </t>
  </si>
  <si>
    <t xml:space="preserve">AZUL PROCESO </t>
  </si>
  <si>
    <t xml:space="preserve">COOL GRAY 4 </t>
  </si>
  <si>
    <t xml:space="preserve">WARM GRAY 11 </t>
  </si>
  <si>
    <t xml:space="preserve">PURPURA </t>
  </si>
  <si>
    <t xml:space="preserve">COOL GRAY 5 </t>
  </si>
  <si>
    <t xml:space="preserve">COOL GRAY 6 </t>
  </si>
  <si>
    <t xml:space="preserve">ROJO 032 </t>
  </si>
  <si>
    <t xml:space="preserve">WARM GRAY 2 </t>
  </si>
  <si>
    <t xml:space="preserve">WARM GRAY 3 </t>
  </si>
  <si>
    <t xml:space="preserve">AZUL REFLEX </t>
  </si>
  <si>
    <t xml:space="preserve">COOL GRAY 7 </t>
  </si>
  <si>
    <t xml:space="preserve">COOL GRAY 8 </t>
  </si>
  <si>
    <t xml:space="preserve">ROJO RHODAMINE </t>
  </si>
  <si>
    <t>ROJO RUBINE</t>
  </si>
  <si>
    <t xml:space="preserve">WARM GRAY 4 </t>
  </si>
  <si>
    <t xml:space="preserve">COOL GRAY 9 </t>
  </si>
  <si>
    <t xml:space="preserve">VERDE </t>
  </si>
  <si>
    <t xml:space="preserve">VIOLETA </t>
  </si>
  <si>
    <t xml:space="preserve">WARM GRAY 6 </t>
  </si>
  <si>
    <t xml:space="preserve">WARM GRAY 5 </t>
  </si>
  <si>
    <t xml:space="preserve">WARM GRAY 7 </t>
  </si>
  <si>
    <t xml:space="preserve">WARM GRAY 8 </t>
  </si>
  <si>
    <t xml:space="preserve">WARM GRAY 9 </t>
  </si>
  <si>
    <t xml:space="preserve">ROJO WARM </t>
  </si>
  <si>
    <t xml:space="preserve">AMARILLO 012 </t>
  </si>
  <si>
    <t xml:space="preserve">AMARILLO </t>
  </si>
  <si>
    <t>Rojo PC</t>
  </si>
  <si>
    <t>Azul ultramar PC</t>
  </si>
  <si>
    <t>COLOR MIXING</t>
  </si>
  <si>
    <t xml:space="preserve">Guía de formulación </t>
  </si>
  <si>
    <t>Sistema PC</t>
  </si>
  <si>
    <t>Pigmentos Concentrados para Plastisol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</si>
</sst>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0.000%"/>
  </numFmts>
  <fonts count="4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color indexed="9"/>
      <name val="Arial Black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4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10" fontId="0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0"/>
  <sheetViews>
    <sheetView tabSelected="1" zoomScalePageLayoutView="0" workbookViewId="0" topLeftCell="A1664">
      <selection activeCell="D1686" sqref="D1686:E1686"/>
    </sheetView>
  </sheetViews>
  <sheetFormatPr defaultColWidth="11.421875" defaultRowHeight="12.75"/>
  <cols>
    <col min="1" max="1" width="17.8515625" style="0" customWidth="1"/>
    <col min="2" max="2" width="10.7109375" style="0" customWidth="1"/>
    <col min="3" max="3" width="5.8515625" style="0" customWidth="1"/>
    <col min="4" max="4" width="17.8515625" style="0" customWidth="1"/>
    <col min="5" max="5" width="10.7109375" style="0" customWidth="1"/>
    <col min="6" max="6" width="5.8515625" style="0" customWidth="1"/>
    <col min="7" max="7" width="17.8515625" style="0" customWidth="1"/>
    <col min="8" max="8" width="10.7109375" style="0" customWidth="1"/>
  </cols>
  <sheetData>
    <row r="1" spans="1:8" s="13" customFormat="1" ht="18" customHeight="1">
      <c r="A1" s="20" t="s">
        <v>76</v>
      </c>
      <c r="B1" s="20"/>
      <c r="C1" s="20"/>
      <c r="D1" s="12"/>
      <c r="E1" s="12"/>
      <c r="F1" s="18" t="s">
        <v>78</v>
      </c>
      <c r="G1" s="18"/>
      <c r="H1" s="18"/>
    </row>
    <row r="2" spans="2:9" s="13" customFormat="1" ht="10.5" customHeight="1">
      <c r="B2" s="14"/>
      <c r="C2" s="15"/>
      <c r="D2" s="12"/>
      <c r="E2" s="12"/>
      <c r="F2" s="19" t="s">
        <v>79</v>
      </c>
      <c r="G2" s="19"/>
      <c r="H2" s="19"/>
      <c r="I2" s="16"/>
    </row>
    <row r="3" spans="2:6" s="13" customFormat="1" ht="15" customHeight="1">
      <c r="B3" s="21" t="s">
        <v>77</v>
      </c>
      <c r="C3" s="21"/>
      <c r="D3" s="21"/>
      <c r="E3" s="21"/>
      <c r="F3" s="17"/>
    </row>
    <row r="6" spans="1:10" ht="12.75">
      <c r="A6" s="22">
        <v>100</v>
      </c>
      <c r="B6" s="22"/>
      <c r="C6" s="5"/>
      <c r="D6" s="22">
        <v>108</v>
      </c>
      <c r="E6" s="22"/>
      <c r="G6" s="22">
        <v>115</v>
      </c>
      <c r="H6" s="22"/>
      <c r="I6" s="23"/>
      <c r="J6" s="23"/>
    </row>
    <row r="7" spans="1:10" ht="12.75">
      <c r="A7" t="s">
        <v>0</v>
      </c>
      <c r="B7" s="1">
        <f>275/368.6</f>
        <v>0.7460661964188822</v>
      </c>
      <c r="D7" t="s">
        <v>0</v>
      </c>
      <c r="E7" s="1">
        <f>275/338</f>
        <v>0.8136094674556213</v>
      </c>
      <c r="G7" t="s">
        <v>3</v>
      </c>
      <c r="H7" s="4">
        <f>275/365.1</f>
        <v>0.7532182963571624</v>
      </c>
      <c r="I7" s="6"/>
      <c r="J7" s="4"/>
    </row>
    <row r="8" spans="1:10" ht="12.75">
      <c r="A8" t="s">
        <v>1</v>
      </c>
      <c r="B8" s="1">
        <f>90/368.6</f>
        <v>0.24416711882799783</v>
      </c>
      <c r="D8" t="s">
        <v>2</v>
      </c>
      <c r="E8" s="1">
        <f>51/338</f>
        <v>0.15088757396449703</v>
      </c>
      <c r="G8" t="s">
        <v>1</v>
      </c>
      <c r="H8" s="4">
        <f>76/365.1</f>
        <v>0.2081621473568885</v>
      </c>
      <c r="I8" s="6"/>
      <c r="J8" s="4"/>
    </row>
    <row r="9" spans="1:10" ht="13.5" thickBot="1">
      <c r="A9" t="s">
        <v>2</v>
      </c>
      <c r="B9" s="3">
        <f>3.6/368.6</f>
        <v>0.009766684753119913</v>
      </c>
      <c r="D9" t="s">
        <v>8</v>
      </c>
      <c r="E9" s="3">
        <f>12/338</f>
        <v>0.03550295857988166</v>
      </c>
      <c r="G9" t="s">
        <v>2</v>
      </c>
      <c r="H9" s="4">
        <f>14/365.1</f>
        <v>0.038345658723637356</v>
      </c>
      <c r="I9" s="6"/>
      <c r="J9" s="4"/>
    </row>
    <row r="10" spans="2:10" ht="13.5" thickBot="1">
      <c r="B10" s="2">
        <f>SUM(B7:B9)</f>
        <v>0.9999999999999999</v>
      </c>
      <c r="E10" s="1">
        <f>SUM(E7:E9)</f>
        <v>1</v>
      </c>
      <c r="G10" t="s">
        <v>7</v>
      </c>
      <c r="H10" s="3">
        <f>0.1/365.1</f>
        <v>0.0002738975623116954</v>
      </c>
      <c r="I10" s="6"/>
      <c r="J10" s="4"/>
    </row>
    <row r="11" spans="2:10" ht="12.75">
      <c r="B11" s="1"/>
      <c r="H11" s="1">
        <f>SUM(H7:H10)</f>
        <v>1</v>
      </c>
      <c r="I11" s="6"/>
      <c r="J11" s="4"/>
    </row>
    <row r="12" spans="1:10" ht="12.75">
      <c r="A12" s="22">
        <v>101</v>
      </c>
      <c r="B12" s="22"/>
      <c r="D12" s="22">
        <v>109</v>
      </c>
      <c r="E12" s="22"/>
      <c r="G12" s="6"/>
      <c r="H12" s="6"/>
      <c r="I12" s="6"/>
      <c r="J12" s="6"/>
    </row>
    <row r="13" spans="1:10" ht="12.75">
      <c r="A13" t="s">
        <v>0</v>
      </c>
      <c r="B13" s="1">
        <f>275/361.6</f>
        <v>0.7605088495575221</v>
      </c>
      <c r="D13" t="s">
        <v>0</v>
      </c>
      <c r="E13" s="4">
        <f>275/323.1</f>
        <v>0.8511296812132466</v>
      </c>
      <c r="G13" s="22">
        <v>116</v>
      </c>
      <c r="H13" s="22"/>
      <c r="I13" s="23"/>
      <c r="J13" s="23"/>
    </row>
    <row r="14" spans="1:10" ht="12.75">
      <c r="A14" t="s">
        <v>1</v>
      </c>
      <c r="B14" s="1">
        <f>80/361.6</f>
        <v>0.22123893805309733</v>
      </c>
      <c r="D14" t="s">
        <v>2</v>
      </c>
      <c r="E14" s="4">
        <f>46/323.1</f>
        <v>0.1423707830393067</v>
      </c>
      <c r="G14" t="s">
        <v>3</v>
      </c>
      <c r="H14" s="4">
        <f>275/354.3</f>
        <v>0.7761783799040362</v>
      </c>
      <c r="I14" s="6"/>
      <c r="J14" s="4"/>
    </row>
    <row r="15" spans="1:10" ht="13.5" thickBot="1">
      <c r="A15" t="s">
        <v>2</v>
      </c>
      <c r="B15" s="3">
        <f>6.6/361.6</f>
        <v>0.018252212389380528</v>
      </c>
      <c r="D15" t="s">
        <v>1</v>
      </c>
      <c r="E15" s="4">
        <f>2/323.1</f>
        <v>0.006190034045187248</v>
      </c>
      <c r="G15" t="s">
        <v>1</v>
      </c>
      <c r="H15" s="4">
        <f>50/354.3</f>
        <v>0.14112334180073383</v>
      </c>
      <c r="I15" s="6"/>
      <c r="J15" s="4"/>
    </row>
    <row r="16" spans="2:10" ht="13.5" thickBot="1">
      <c r="B16" s="1">
        <f>SUM(B13:B15)</f>
        <v>1</v>
      </c>
      <c r="D16" t="s">
        <v>4</v>
      </c>
      <c r="E16" s="3">
        <f>0.1/323.1</f>
        <v>0.00030950170225936243</v>
      </c>
      <c r="G16" t="s">
        <v>2</v>
      </c>
      <c r="H16" s="4">
        <f>29/354.3</f>
        <v>0.08185153824442562</v>
      </c>
      <c r="I16" s="6"/>
      <c r="J16" s="4"/>
    </row>
    <row r="17" spans="5:10" ht="13.5" thickBot="1">
      <c r="E17" s="1">
        <f>SUM(E13:E16)</f>
        <v>1</v>
      </c>
      <c r="G17" t="s">
        <v>7</v>
      </c>
      <c r="H17" s="3">
        <f>0.3/354.3</f>
        <v>0.000846740050804403</v>
      </c>
      <c r="I17" s="6"/>
      <c r="J17" s="4"/>
    </row>
    <row r="18" spans="1:10" ht="12.75">
      <c r="A18" s="22">
        <v>102</v>
      </c>
      <c r="B18" s="22"/>
      <c r="H18" s="1">
        <f>SUM(H14:H17)</f>
        <v>1</v>
      </c>
      <c r="I18" s="6"/>
      <c r="J18" s="4"/>
    </row>
    <row r="19" spans="1:10" ht="12.75">
      <c r="A19" t="s">
        <v>0</v>
      </c>
      <c r="B19" s="1">
        <f>275/370</f>
        <v>0.7432432432432432</v>
      </c>
      <c r="D19" s="22">
        <v>110</v>
      </c>
      <c r="E19" s="22"/>
      <c r="I19" s="6"/>
      <c r="J19" s="4"/>
    </row>
    <row r="20" spans="1:10" ht="12.75">
      <c r="A20" t="s">
        <v>1</v>
      </c>
      <c r="B20" s="1">
        <f>50/370</f>
        <v>0.13513513513513514</v>
      </c>
      <c r="D20" t="s">
        <v>3</v>
      </c>
      <c r="E20" s="4">
        <f>275/342.8</f>
        <v>0.8022170361726955</v>
      </c>
      <c r="G20" s="22">
        <v>117</v>
      </c>
      <c r="H20" s="22"/>
      <c r="I20" s="23"/>
      <c r="J20" s="23"/>
    </row>
    <row r="21" spans="1:10" ht="12.75">
      <c r="A21" t="s">
        <v>5</v>
      </c>
      <c r="B21" s="4">
        <f>28/370</f>
        <v>0.07567567567567568</v>
      </c>
      <c r="D21" t="s">
        <v>2</v>
      </c>
      <c r="E21" s="4">
        <f>41/342.8</f>
        <v>0.11960326721120186</v>
      </c>
      <c r="G21" t="s">
        <v>3</v>
      </c>
      <c r="H21" s="4">
        <f>275/349.6</f>
        <v>0.7866132723112128</v>
      </c>
      <c r="I21" s="23"/>
      <c r="J21" s="23"/>
    </row>
    <row r="22" spans="1:10" ht="13.5" thickBot="1">
      <c r="A22" t="s">
        <v>2</v>
      </c>
      <c r="B22" s="3">
        <f>17/370</f>
        <v>0.04594594594594595</v>
      </c>
      <c r="D22" t="s">
        <v>1</v>
      </c>
      <c r="E22" s="4">
        <f>26/342.8</f>
        <v>0.07584597432905484</v>
      </c>
      <c r="G22" t="s">
        <v>1</v>
      </c>
      <c r="H22" s="4">
        <f>40/349.6</f>
        <v>0.11441647597254004</v>
      </c>
      <c r="I22" s="6"/>
      <c r="J22" s="4"/>
    </row>
    <row r="23" spans="2:10" ht="12.75">
      <c r="B23" s="2">
        <f>SUM(B19:B22)</f>
        <v>0.9999999999999999</v>
      </c>
      <c r="D23" t="s">
        <v>7</v>
      </c>
      <c r="E23" s="4">
        <f>0.6/342.8</f>
        <v>0.0017502917152858808</v>
      </c>
      <c r="G23" t="s">
        <v>2</v>
      </c>
      <c r="H23" s="4">
        <f>33/349.6</f>
        <v>0.09439359267734553</v>
      </c>
      <c r="I23" s="6"/>
      <c r="J23" s="4"/>
    </row>
    <row r="24" spans="2:10" ht="13.5" thickBot="1">
      <c r="B24" s="1"/>
      <c r="D24" t="s">
        <v>6</v>
      </c>
      <c r="E24" s="3">
        <f>0.2/342.8</f>
        <v>0.0005834305717619604</v>
      </c>
      <c r="G24" t="s">
        <v>7</v>
      </c>
      <c r="H24" s="4">
        <f>1.2/349.6</f>
        <v>0.003432494279176201</v>
      </c>
      <c r="I24" s="6"/>
      <c r="J24" s="4"/>
    </row>
    <row r="25" spans="1:10" ht="13.5" thickBot="1">
      <c r="A25" s="22">
        <v>103</v>
      </c>
      <c r="B25" s="22"/>
      <c r="E25" s="1">
        <f>SUM(E20:E24)</f>
        <v>0.9999999999999999</v>
      </c>
      <c r="G25" t="s">
        <v>6</v>
      </c>
      <c r="H25" s="3">
        <f>0.4/349.6</f>
        <v>0.0011441647597254005</v>
      </c>
      <c r="I25" s="6"/>
      <c r="J25" s="4"/>
    </row>
    <row r="26" spans="1:10" ht="12.75">
      <c r="A26" t="s">
        <v>0</v>
      </c>
      <c r="B26" s="1">
        <f>275/341.5</f>
        <v>0.8052708638360175</v>
      </c>
      <c r="H26" s="1">
        <f>SUM(H21:H25)</f>
        <v>1</v>
      </c>
      <c r="I26" s="6"/>
      <c r="J26" s="4"/>
    </row>
    <row r="27" spans="1:10" ht="12.75">
      <c r="A27" t="s">
        <v>2</v>
      </c>
      <c r="B27" s="1">
        <f>46/341.5</f>
        <v>0.13469985358711567</v>
      </c>
      <c r="D27" s="22">
        <v>111</v>
      </c>
      <c r="E27" s="22"/>
      <c r="G27" s="22"/>
      <c r="H27" s="22"/>
      <c r="I27" s="6"/>
      <c r="J27" s="4"/>
    </row>
    <row r="28" spans="1:10" ht="12.75">
      <c r="A28" t="s">
        <v>1</v>
      </c>
      <c r="B28" s="4">
        <f>20/341.5</f>
        <v>0.05856515373352855</v>
      </c>
      <c r="D28" t="s">
        <v>3</v>
      </c>
      <c r="E28" s="4">
        <f>275/340.6</f>
        <v>0.8073987081620669</v>
      </c>
      <c r="G28" s="22">
        <v>118</v>
      </c>
      <c r="H28" s="22"/>
      <c r="I28" s="23"/>
      <c r="J28" s="23"/>
    </row>
    <row r="29" spans="1:10" ht="12.75">
      <c r="A29" t="s">
        <v>6</v>
      </c>
      <c r="B29" s="1">
        <f>0.3/341.5</f>
        <v>0.0008784773060029282</v>
      </c>
      <c r="D29" t="s">
        <v>2</v>
      </c>
      <c r="E29" s="4">
        <f>44/340.6</f>
        <v>0.1291837933059307</v>
      </c>
      <c r="G29" t="s">
        <v>3</v>
      </c>
      <c r="H29" s="4">
        <f>275/342.1</f>
        <v>0.8038585209003215</v>
      </c>
      <c r="I29" s="23"/>
      <c r="J29" s="23"/>
    </row>
    <row r="30" spans="1:10" ht="13.5" thickBot="1">
      <c r="A30" t="s">
        <v>7</v>
      </c>
      <c r="B30" s="3">
        <f>0.2/341.5</f>
        <v>0.0005856515373352855</v>
      </c>
      <c r="D30" t="s">
        <v>1</v>
      </c>
      <c r="E30" s="4">
        <f>20/340.6</f>
        <v>0.05871990604815032</v>
      </c>
      <c r="G30" t="s">
        <v>2</v>
      </c>
      <c r="H30" s="4">
        <f>41/342.1</f>
        <v>0.11984799766150248</v>
      </c>
      <c r="I30" s="6"/>
      <c r="J30" s="4"/>
    </row>
    <row r="31" spans="2:10" ht="12.75">
      <c r="B31" s="1">
        <f>SUM(B26:B30)</f>
        <v>0.9999999999999999</v>
      </c>
      <c r="D31" t="s">
        <v>7</v>
      </c>
      <c r="E31" s="4">
        <f>0.8/340.6</f>
        <v>0.002348796241926013</v>
      </c>
      <c r="G31" t="s">
        <v>1</v>
      </c>
      <c r="H31" s="4">
        <f>24/342.1</f>
        <v>0.07015492546039169</v>
      </c>
      <c r="I31" s="6"/>
      <c r="J31" s="4"/>
    </row>
    <row r="32" spans="2:10" ht="13.5" thickBot="1">
      <c r="B32" s="1"/>
      <c r="D32" t="s">
        <v>6</v>
      </c>
      <c r="E32" s="3">
        <f>0.8/340.6</f>
        <v>0.002348796241926013</v>
      </c>
      <c r="G32" t="s">
        <v>7</v>
      </c>
      <c r="H32" s="4">
        <f>1.4/342.1</f>
        <v>0.004092370651856182</v>
      </c>
      <c r="I32" s="6"/>
      <c r="J32" s="4"/>
    </row>
    <row r="33" spans="1:10" ht="13.5" thickBot="1">
      <c r="A33" s="22">
        <v>104</v>
      </c>
      <c r="B33" s="22"/>
      <c r="E33" s="1">
        <f>SUM(E28:E32)</f>
        <v>0.9999999999999999</v>
      </c>
      <c r="G33" t="s">
        <v>6</v>
      </c>
      <c r="H33" s="3">
        <f>0.7/342.1</f>
        <v>0.002046185325928091</v>
      </c>
      <c r="I33" s="6"/>
      <c r="J33" s="4"/>
    </row>
    <row r="34" spans="1:10" ht="12.75">
      <c r="A34" t="s">
        <v>0</v>
      </c>
      <c r="B34" s="1">
        <f>275/336</f>
        <v>0.8184523809523809</v>
      </c>
      <c r="H34" s="1">
        <f>SUM(H29:H33)</f>
        <v>0.9999999999999999</v>
      </c>
      <c r="I34" s="6"/>
      <c r="J34" s="4"/>
    </row>
    <row r="35" spans="1:10" ht="12.75">
      <c r="A35" t="s">
        <v>2</v>
      </c>
      <c r="B35" s="1">
        <f>52/336</f>
        <v>0.15476190476190477</v>
      </c>
      <c r="D35" s="22">
        <v>112</v>
      </c>
      <c r="E35" s="22"/>
      <c r="G35" s="22"/>
      <c r="H35" s="22"/>
      <c r="I35" s="6"/>
      <c r="J35" s="4"/>
    </row>
    <row r="36" spans="1:10" ht="12.75">
      <c r="A36" t="s">
        <v>1</v>
      </c>
      <c r="B36" s="4">
        <f>8/336</f>
        <v>0.023809523809523808</v>
      </c>
      <c r="D36" t="s">
        <v>3</v>
      </c>
      <c r="E36" s="4">
        <f>275/324</f>
        <v>0.8487654320987654</v>
      </c>
      <c r="G36" s="22">
        <v>119</v>
      </c>
      <c r="H36" s="22"/>
      <c r="I36" s="23"/>
      <c r="J36" s="23"/>
    </row>
    <row r="37" spans="1:10" ht="12.75">
      <c r="A37" t="s">
        <v>7</v>
      </c>
      <c r="B37" s="1">
        <f>0.5/336</f>
        <v>0.001488095238095238</v>
      </c>
      <c r="D37" t="s">
        <v>2</v>
      </c>
      <c r="E37" s="4">
        <f>45/324</f>
        <v>0.1388888888888889</v>
      </c>
      <c r="G37" t="s">
        <v>3</v>
      </c>
      <c r="H37" s="4">
        <f>275/346.6</f>
        <v>0.7934218118869013</v>
      </c>
      <c r="I37" s="23"/>
      <c r="J37" s="23"/>
    </row>
    <row r="38" spans="1:10" ht="13.5" thickBot="1">
      <c r="A38" t="s">
        <v>6</v>
      </c>
      <c r="B38" s="3">
        <f>0.5/336</f>
        <v>0.001488095238095238</v>
      </c>
      <c r="D38" t="s">
        <v>1</v>
      </c>
      <c r="E38" s="4">
        <f>2/324</f>
        <v>0.006172839506172839</v>
      </c>
      <c r="G38" t="s">
        <v>2</v>
      </c>
      <c r="H38" s="4">
        <f>54/346.6</f>
        <v>0.15579919215233698</v>
      </c>
      <c r="I38" s="6"/>
      <c r="J38" s="4"/>
    </row>
    <row r="39" spans="2:10" ht="12.75">
      <c r="B39" s="1">
        <f>SUM(B34:B38)</f>
        <v>1</v>
      </c>
      <c r="D39" t="s">
        <v>7</v>
      </c>
      <c r="E39" s="4">
        <f>1.2/324</f>
        <v>0.0037037037037037034</v>
      </c>
      <c r="G39" t="s">
        <v>6</v>
      </c>
      <c r="H39" s="4">
        <f>13/346.6</f>
        <v>0.037507212925562604</v>
      </c>
      <c r="I39" s="6"/>
      <c r="J39" s="4"/>
    </row>
    <row r="40" spans="2:10" ht="13.5" thickBot="1">
      <c r="B40" s="1"/>
      <c r="D40" t="s">
        <v>6</v>
      </c>
      <c r="E40" s="3">
        <f>0.8/324</f>
        <v>0.0024691358024691358</v>
      </c>
      <c r="G40" t="s">
        <v>1</v>
      </c>
      <c r="H40" s="4">
        <f>2.6/346.6</f>
        <v>0.0075014425851125215</v>
      </c>
      <c r="I40" s="6"/>
      <c r="J40" s="4"/>
    </row>
    <row r="41" spans="1:10" ht="13.5" thickBot="1">
      <c r="A41" s="22">
        <v>105</v>
      </c>
      <c r="B41" s="22"/>
      <c r="E41" s="1">
        <f>SUM(E36:E40)</f>
        <v>0.9999999999999999</v>
      </c>
      <c r="G41" t="s">
        <v>7</v>
      </c>
      <c r="H41" s="3">
        <f>2/346.6</f>
        <v>0.0057703404500865545</v>
      </c>
      <c r="I41" s="6"/>
      <c r="J41" s="4"/>
    </row>
    <row r="42" spans="1:10" ht="12.75">
      <c r="A42" t="s">
        <v>0</v>
      </c>
      <c r="B42" s="1">
        <f>275/333.6</f>
        <v>0.8243405275779376</v>
      </c>
      <c r="H42" s="1">
        <f>SUM(H37:H41)</f>
        <v>0.9999999999999999</v>
      </c>
      <c r="I42" s="6"/>
      <c r="J42" s="4"/>
    </row>
    <row r="43" spans="1:10" ht="12.75">
      <c r="A43" t="s">
        <v>2</v>
      </c>
      <c r="B43" s="1">
        <f>54/333.6</f>
        <v>0.1618705035971223</v>
      </c>
      <c r="D43" s="22">
        <v>113</v>
      </c>
      <c r="E43" s="22"/>
      <c r="G43" s="22"/>
      <c r="H43" s="22"/>
      <c r="I43" s="23"/>
      <c r="J43" s="23"/>
    </row>
    <row r="44" spans="1:10" ht="12.75">
      <c r="A44" t="s">
        <v>1</v>
      </c>
      <c r="B44" s="1">
        <f>2/333.6</f>
        <v>0.005995203836930456</v>
      </c>
      <c r="D44" t="s">
        <v>3</v>
      </c>
      <c r="E44" s="4">
        <f>275/368.3</f>
        <v>0.7466739071409177</v>
      </c>
      <c r="G44" s="22">
        <v>120</v>
      </c>
      <c r="H44" s="22"/>
      <c r="I44" s="23"/>
      <c r="J44" s="23"/>
    </row>
    <row r="45" spans="1:10" ht="12.75">
      <c r="A45" t="s">
        <v>6</v>
      </c>
      <c r="B45" s="1">
        <f>1.4/333.6</f>
        <v>0.004196642685851318</v>
      </c>
      <c r="D45" t="s">
        <v>1</v>
      </c>
      <c r="E45" s="4">
        <f>84/368.3</f>
        <v>0.2280749389084985</v>
      </c>
      <c r="G45" t="s">
        <v>3</v>
      </c>
      <c r="H45" s="4">
        <f>275/321.6</f>
        <v>0.8550995024875622</v>
      </c>
      <c r="I45" s="6"/>
      <c r="J45" s="4"/>
    </row>
    <row r="46" spans="1:10" ht="13.5" thickBot="1">
      <c r="A46" t="s">
        <v>7</v>
      </c>
      <c r="B46" s="3">
        <f>1.2/333.6</f>
        <v>0.003597122302158273</v>
      </c>
      <c r="D46" t="s">
        <v>2</v>
      </c>
      <c r="E46" s="4">
        <f>9/368.3</f>
        <v>0.024436600597339125</v>
      </c>
      <c r="G46" t="s">
        <v>1</v>
      </c>
      <c r="H46" s="4">
        <f>44/321.6</f>
        <v>0.13681592039800994</v>
      </c>
      <c r="I46" s="6"/>
      <c r="J46" s="4"/>
    </row>
    <row r="47" spans="2:10" ht="13.5" thickBot="1">
      <c r="B47" s="1">
        <f>SUM(B42:B46)</f>
        <v>0.9999999999999999</v>
      </c>
      <c r="D47" t="s">
        <v>4</v>
      </c>
      <c r="E47" s="3">
        <f>0.3/368.3</f>
        <v>0.0008145533532446375</v>
      </c>
      <c r="G47" t="s">
        <v>2</v>
      </c>
      <c r="H47" s="4">
        <f>2/321.6</f>
        <v>0.006218905472636815</v>
      </c>
      <c r="I47" s="6"/>
      <c r="J47" s="4"/>
    </row>
    <row r="48" spans="2:10" ht="13.5" thickBot="1">
      <c r="B48" s="1"/>
      <c r="E48" s="1">
        <f>SUM(E44:E47)</f>
        <v>1</v>
      </c>
      <c r="G48" t="s">
        <v>4</v>
      </c>
      <c r="H48" s="3">
        <f>0.6/321.6</f>
        <v>0.0018656716417910445</v>
      </c>
      <c r="I48" s="6"/>
      <c r="J48" s="4"/>
    </row>
    <row r="49" spans="1:10" ht="12.75">
      <c r="A49" s="22">
        <v>106</v>
      </c>
      <c r="B49" s="22"/>
      <c r="H49" s="1">
        <f>SUM(H45:H48)</f>
        <v>1</v>
      </c>
      <c r="I49" s="6"/>
      <c r="J49" s="4"/>
    </row>
    <row r="50" spans="1:10" ht="12.75">
      <c r="A50" t="s">
        <v>0</v>
      </c>
      <c r="B50" s="1">
        <f>275/364</f>
        <v>0.7554945054945055</v>
      </c>
      <c r="D50" s="22">
        <v>114</v>
      </c>
      <c r="E50" s="22"/>
      <c r="G50" s="22"/>
      <c r="H50" s="22"/>
      <c r="I50" s="6"/>
      <c r="J50" s="4"/>
    </row>
    <row r="51" spans="1:10" ht="12.75">
      <c r="A51" t="s">
        <v>1</v>
      </c>
      <c r="B51" s="1">
        <f>76/364</f>
        <v>0.2087912087912088</v>
      </c>
      <c r="D51" t="s">
        <v>3</v>
      </c>
      <c r="E51" s="4">
        <f>275/353.1</f>
        <v>0.778816199376947</v>
      </c>
      <c r="G51" s="22">
        <v>121</v>
      </c>
      <c r="H51" s="22"/>
      <c r="I51" s="6"/>
      <c r="J51" s="6"/>
    </row>
    <row r="52" spans="1:10" ht="13.5" thickBot="1">
      <c r="A52" t="s">
        <v>2</v>
      </c>
      <c r="B52" s="3">
        <f>13/364</f>
        <v>0.03571428571428571</v>
      </c>
      <c r="D52" t="s">
        <v>1</v>
      </c>
      <c r="E52" s="4">
        <f>54/353.1</f>
        <v>0.15293118096856415</v>
      </c>
      <c r="G52" t="s">
        <v>3</v>
      </c>
      <c r="H52" s="4">
        <f>275/329</f>
        <v>0.8358662613981763</v>
      </c>
      <c r="I52" s="6"/>
      <c r="J52" s="6"/>
    </row>
    <row r="53" spans="2:10" ht="12.75">
      <c r="B53" s="1">
        <f>SUM(B50:B52)</f>
        <v>1</v>
      </c>
      <c r="D53" t="s">
        <v>5</v>
      </c>
      <c r="E53" s="4">
        <f>14/353.1</f>
        <v>0.03964882469555366</v>
      </c>
      <c r="G53" t="s">
        <v>1</v>
      </c>
      <c r="H53" s="4">
        <f>50/329</f>
        <v>0.1519756838905775</v>
      </c>
      <c r="I53" s="6"/>
      <c r="J53" s="6"/>
    </row>
    <row r="54" spans="2:10" ht="12.75">
      <c r="B54" s="1"/>
      <c r="D54" t="s">
        <v>2</v>
      </c>
      <c r="E54" s="4">
        <f>10/353.1</f>
        <v>0.02832058906825262</v>
      </c>
      <c r="G54" t="s">
        <v>2</v>
      </c>
      <c r="H54" s="4">
        <f>3/329</f>
        <v>0.00911854103343465</v>
      </c>
      <c r="I54" s="6"/>
      <c r="J54" s="6"/>
    </row>
    <row r="55" spans="1:10" ht="13.5" thickBot="1">
      <c r="A55" s="22">
        <v>107</v>
      </c>
      <c r="B55" s="22"/>
      <c r="D55" t="s">
        <v>7</v>
      </c>
      <c r="E55" s="3">
        <f>0.1/353.1</f>
        <v>0.0002832058906825262</v>
      </c>
      <c r="G55" t="s">
        <v>4</v>
      </c>
      <c r="H55" s="4">
        <f>0.8/329</f>
        <v>0.0024316109422492403</v>
      </c>
      <c r="I55" s="6"/>
      <c r="J55" s="6"/>
    </row>
    <row r="56" spans="1:10" ht="13.5" thickBot="1">
      <c r="A56" t="s">
        <v>0</v>
      </c>
      <c r="B56" s="1">
        <f>275/371</f>
        <v>0.7412398921832885</v>
      </c>
      <c r="E56" s="1">
        <f>SUM(E51:E55)</f>
        <v>1</v>
      </c>
      <c r="G56" t="s">
        <v>9</v>
      </c>
      <c r="H56" s="3">
        <f>0.2/329</f>
        <v>0.0006079027355623101</v>
      </c>
      <c r="I56" s="6"/>
      <c r="J56" s="6"/>
    </row>
    <row r="57" spans="1:10" ht="12.75">
      <c r="A57" t="s">
        <v>1</v>
      </c>
      <c r="B57" s="1">
        <f>80/371</f>
        <v>0.215633423180593</v>
      </c>
      <c r="H57" s="1">
        <f>SUM(H52:H56)</f>
        <v>1</v>
      </c>
      <c r="I57" s="6"/>
      <c r="J57" s="6"/>
    </row>
    <row r="58" spans="1:10" ht="13.5" thickBot="1">
      <c r="A58" t="s">
        <v>2</v>
      </c>
      <c r="B58" s="3">
        <f>16/371</f>
        <v>0.0431266846361186</v>
      </c>
      <c r="D58" s="23"/>
      <c r="E58" s="23"/>
      <c r="G58" s="6"/>
      <c r="H58" s="4"/>
      <c r="I58" s="6"/>
      <c r="J58" s="6"/>
    </row>
    <row r="59" spans="2:10" ht="12.75">
      <c r="B59" s="1">
        <f>SUM(B56:B58)</f>
        <v>1</v>
      </c>
      <c r="D59" s="6"/>
      <c r="E59" s="4"/>
      <c r="G59" s="6"/>
      <c r="H59" s="6"/>
      <c r="I59" s="6"/>
      <c r="J59" s="6"/>
    </row>
    <row r="60" spans="4:10" ht="12.75">
      <c r="D60" s="6"/>
      <c r="E60" s="4"/>
      <c r="G60" s="6"/>
      <c r="H60" s="6"/>
      <c r="I60" s="6"/>
      <c r="J60" s="6"/>
    </row>
    <row r="61" spans="4:10" ht="12.75">
      <c r="D61" s="6"/>
      <c r="E61" s="4"/>
      <c r="G61" s="6"/>
      <c r="H61" s="6"/>
      <c r="I61" s="6"/>
      <c r="J61" s="6"/>
    </row>
    <row r="62" spans="1:10" ht="12.75">
      <c r="A62" s="22">
        <v>122</v>
      </c>
      <c r="B62" s="22"/>
      <c r="D62" s="22">
        <v>130</v>
      </c>
      <c r="E62" s="22"/>
      <c r="G62" s="22">
        <v>138</v>
      </c>
      <c r="H62" s="22"/>
      <c r="I62" s="6"/>
      <c r="J62" s="6"/>
    </row>
    <row r="63" spans="1:8" ht="12.75">
      <c r="A63" t="s">
        <v>3</v>
      </c>
      <c r="B63" s="4">
        <f>275/347.3</f>
        <v>0.7918226317304924</v>
      </c>
      <c r="D63" t="s">
        <v>3</v>
      </c>
      <c r="E63" s="4">
        <f>275/333.9</f>
        <v>0.8235998802036538</v>
      </c>
      <c r="G63" t="s">
        <v>3</v>
      </c>
      <c r="H63" s="4">
        <f>275/334.1</f>
        <v>0.8231068542352589</v>
      </c>
    </row>
    <row r="64" spans="1:8" ht="12.75">
      <c r="A64" t="s">
        <v>1</v>
      </c>
      <c r="B64" s="4">
        <f>66/347.3</f>
        <v>0.19003743161531816</v>
      </c>
      <c r="D64" t="s">
        <v>2</v>
      </c>
      <c r="E64" s="4">
        <f>41.6/333.9</f>
        <v>0.12458820005989818</v>
      </c>
      <c r="G64" t="s">
        <v>2</v>
      </c>
      <c r="H64" s="4">
        <f>50/334.1</f>
        <v>0.14965579167913798</v>
      </c>
    </row>
    <row r="65" spans="1:8" ht="12.75">
      <c r="A65" t="s">
        <v>2</v>
      </c>
      <c r="B65" s="4">
        <f>6/347.3</f>
        <v>0.017276130146847105</v>
      </c>
      <c r="D65" t="s">
        <v>1</v>
      </c>
      <c r="E65" s="4">
        <f>15.8/333.9</f>
        <v>0.047319556753519024</v>
      </c>
      <c r="G65" t="s">
        <v>1</v>
      </c>
      <c r="H65" s="4">
        <f>6/334.1</f>
        <v>0.017958695001496557</v>
      </c>
    </row>
    <row r="66" spans="1:8" ht="12.75">
      <c r="A66" t="s">
        <v>7</v>
      </c>
      <c r="B66" s="4">
        <f>0.2/347.3</f>
        <v>0.0005758710048949035</v>
      </c>
      <c r="D66" t="s">
        <v>7</v>
      </c>
      <c r="E66" s="4">
        <f>1.4/333.9</f>
        <v>0.0041928721174004195</v>
      </c>
      <c r="G66" t="s">
        <v>12</v>
      </c>
      <c r="H66" s="4">
        <f>3/334.1</f>
        <v>0.008979347500748278</v>
      </c>
    </row>
    <row r="67" spans="1:8" ht="13.5" thickBot="1">
      <c r="A67" t="s">
        <v>10</v>
      </c>
      <c r="B67" s="3">
        <f>0.1/347.3</f>
        <v>0.00028793550244745177</v>
      </c>
      <c r="D67" t="s">
        <v>6</v>
      </c>
      <c r="E67" s="3">
        <f>0.1/333.9</f>
        <v>0.0002994908655286014</v>
      </c>
      <c r="G67" t="s">
        <v>6</v>
      </c>
      <c r="H67" s="3">
        <f>0.1/334.1</f>
        <v>0.000299311583358276</v>
      </c>
    </row>
    <row r="68" spans="2:8" ht="12.75">
      <c r="B68" s="1">
        <f>SUM(B63:B67)</f>
        <v>1</v>
      </c>
      <c r="E68" s="1">
        <f>SUM(E63:E67)</f>
        <v>1</v>
      </c>
      <c r="H68" s="1">
        <f>SUM(H63:H67)</f>
        <v>1</v>
      </c>
    </row>
    <row r="69" ht="11.25" customHeight="1">
      <c r="E69" s="1"/>
    </row>
    <row r="70" spans="1:8" ht="12.75">
      <c r="A70" s="22">
        <v>123</v>
      </c>
      <c r="B70" s="22"/>
      <c r="D70" s="22">
        <v>131</v>
      </c>
      <c r="E70" s="22"/>
      <c r="G70" s="22">
        <v>139</v>
      </c>
      <c r="H70" s="22"/>
    </row>
    <row r="71" spans="1:8" ht="12.75">
      <c r="A71" t="s">
        <v>3</v>
      </c>
      <c r="B71" s="4">
        <f>275/346.4</f>
        <v>0.7938799076212472</v>
      </c>
      <c r="D71" t="s">
        <v>3</v>
      </c>
      <c r="E71" s="4">
        <f>275/340.3</f>
        <v>0.8081104907434616</v>
      </c>
      <c r="G71" t="s">
        <v>3</v>
      </c>
      <c r="H71" s="4">
        <f>275/324.2</f>
        <v>0.8482418260333128</v>
      </c>
    </row>
    <row r="72" spans="1:8" ht="12.75">
      <c r="A72" t="s">
        <v>2</v>
      </c>
      <c r="B72" s="4">
        <f>39/346.4</f>
        <v>0.11258660508083142</v>
      </c>
      <c r="D72" t="s">
        <v>2</v>
      </c>
      <c r="E72" s="4">
        <f>51/340.3</f>
        <v>0.14986776373787833</v>
      </c>
      <c r="G72" t="s">
        <v>2</v>
      </c>
      <c r="H72" s="4">
        <f>41.2/324.2</f>
        <v>0.12708204811844542</v>
      </c>
    </row>
    <row r="73" spans="1:8" ht="12.75">
      <c r="A73" t="s">
        <v>1</v>
      </c>
      <c r="B73" s="4">
        <f>32/346.4</f>
        <v>0.09237875288683603</v>
      </c>
      <c r="D73" t="s">
        <v>1</v>
      </c>
      <c r="E73" s="4">
        <f>12/340.3</f>
        <v>0.03526300323244196</v>
      </c>
      <c r="G73" t="s">
        <v>1</v>
      </c>
      <c r="H73" s="4">
        <f>4.2/324.2</f>
        <v>0.01295496607032696</v>
      </c>
    </row>
    <row r="74" spans="1:8" ht="13.5" thickBot="1">
      <c r="A74" t="s">
        <v>7</v>
      </c>
      <c r="B74" s="3">
        <f>0.4/346.4</f>
        <v>0.0011547344110854505</v>
      </c>
      <c r="D74" t="s">
        <v>7</v>
      </c>
      <c r="E74" s="4">
        <f>2/340.3</f>
        <v>0.0058771672054069935</v>
      </c>
      <c r="G74" t="s">
        <v>7</v>
      </c>
      <c r="H74" s="4">
        <f>3.2/324.2</f>
        <v>0.00987045033929673</v>
      </c>
    </row>
    <row r="75" spans="2:8" ht="13.5" thickBot="1">
      <c r="B75" s="1">
        <f>SUM(B71:B74)</f>
        <v>1</v>
      </c>
      <c r="D75" t="s">
        <v>6</v>
      </c>
      <c r="E75" s="3">
        <f>0.3/340.3</f>
        <v>0.000881575080811049</v>
      </c>
      <c r="G75" t="s">
        <v>6</v>
      </c>
      <c r="H75" s="3">
        <f>0.6/324.2</f>
        <v>0.001850709438618137</v>
      </c>
    </row>
    <row r="76" spans="5:8" ht="11.25" customHeight="1">
      <c r="E76" s="1">
        <f>SUM(E71:E75)</f>
        <v>1</v>
      </c>
      <c r="H76" s="1">
        <f>SUM(H71:H75)</f>
        <v>1</v>
      </c>
    </row>
    <row r="77" spans="1:2" ht="12.75">
      <c r="A77" s="22">
        <v>124</v>
      </c>
      <c r="B77" s="22"/>
    </row>
    <row r="78" spans="1:8" ht="12.75">
      <c r="A78" t="s">
        <v>3</v>
      </c>
      <c r="B78" s="4">
        <f>275/338.1</f>
        <v>0.813368825791186</v>
      </c>
      <c r="D78" s="22">
        <v>132</v>
      </c>
      <c r="E78" s="22"/>
      <c r="G78" s="22">
        <v>140</v>
      </c>
      <c r="H78" s="22"/>
    </row>
    <row r="79" spans="1:8" ht="12.75">
      <c r="A79" t="s">
        <v>2</v>
      </c>
      <c r="B79" s="4">
        <f>52/338.1</f>
        <v>0.15380065069506063</v>
      </c>
      <c r="D79" t="s">
        <v>3</v>
      </c>
      <c r="E79" s="4">
        <f>275/338.2</f>
        <v>0.8131283264340627</v>
      </c>
      <c r="G79" t="s">
        <v>3</v>
      </c>
      <c r="H79" s="4">
        <f>275/340.1</f>
        <v>0.808585710085269</v>
      </c>
    </row>
    <row r="80" spans="1:8" ht="12.75">
      <c r="A80" t="s">
        <v>1</v>
      </c>
      <c r="B80" s="4">
        <f>10/338.1</f>
        <v>0.029577048210588583</v>
      </c>
      <c r="D80" t="s">
        <v>2</v>
      </c>
      <c r="E80" s="4">
        <f>41/338.2</f>
        <v>0.12123004139562389</v>
      </c>
      <c r="G80" t="s">
        <v>2</v>
      </c>
      <c r="H80" s="4">
        <f>56/340.1</f>
        <v>0.16465745369009113</v>
      </c>
    </row>
    <row r="81" spans="1:8" ht="12.75">
      <c r="A81" t="s">
        <v>7</v>
      </c>
      <c r="B81" s="4">
        <f>1/338.1</f>
        <v>0.0029577048210588583</v>
      </c>
      <c r="D81" t="s">
        <v>1</v>
      </c>
      <c r="E81" s="4">
        <f>18/338.2</f>
        <v>0.05322294500295683</v>
      </c>
      <c r="G81" t="s">
        <v>11</v>
      </c>
      <c r="H81" s="4">
        <f>5.6/340.1</f>
        <v>0.016465745369009112</v>
      </c>
    </row>
    <row r="82" spans="1:8" ht="13.5" thickBot="1">
      <c r="A82" t="s">
        <v>6</v>
      </c>
      <c r="B82" s="3">
        <f>0.1/338.1</f>
        <v>0.0002957704821058858</v>
      </c>
      <c r="D82" t="s">
        <v>7</v>
      </c>
      <c r="E82" s="4">
        <f>3/338.2</f>
        <v>0.008870490833826138</v>
      </c>
      <c r="G82" t="s">
        <v>1</v>
      </c>
      <c r="H82" s="4">
        <f>2/340.1</f>
        <v>0.005880623346074683</v>
      </c>
    </row>
    <row r="83" spans="2:8" ht="13.5" thickBot="1">
      <c r="B83" s="1">
        <f>SUM(B78:B82)</f>
        <v>1</v>
      </c>
      <c r="D83" t="s">
        <v>6</v>
      </c>
      <c r="E83" s="3">
        <f>1.2/338.2</f>
        <v>0.0035481963335304554</v>
      </c>
      <c r="G83" t="s">
        <v>6</v>
      </c>
      <c r="H83" s="3">
        <f>1.5/340.1</f>
        <v>0.004410467509556012</v>
      </c>
    </row>
    <row r="84" spans="5:8" ht="11.25" customHeight="1">
      <c r="E84" s="1">
        <f>SUM(E79:E83)</f>
        <v>1.0000000000000002</v>
      </c>
      <c r="H84" s="1">
        <f>SUM(H79:H83)</f>
        <v>0.9999999999999999</v>
      </c>
    </row>
    <row r="85" spans="1:2" ht="12.75">
      <c r="A85" s="22">
        <v>125</v>
      </c>
      <c r="B85" s="22"/>
    </row>
    <row r="86" spans="1:8" ht="12.75">
      <c r="A86" t="s">
        <v>3</v>
      </c>
      <c r="B86" s="4">
        <f>275/336.9</f>
        <v>0.8162659542891066</v>
      </c>
      <c r="D86" s="22">
        <v>133</v>
      </c>
      <c r="E86" s="22"/>
      <c r="G86" s="22">
        <v>141</v>
      </c>
      <c r="H86" s="22"/>
    </row>
    <row r="87" spans="1:8" ht="12.75">
      <c r="A87" t="s">
        <v>2</v>
      </c>
      <c r="B87" s="4">
        <f>52/336.9</f>
        <v>0.1543484713564856</v>
      </c>
      <c r="D87" t="s">
        <v>3</v>
      </c>
      <c r="E87" s="4">
        <f>275/332.8</f>
        <v>0.8263221153846153</v>
      </c>
      <c r="G87" t="s">
        <v>3</v>
      </c>
      <c r="H87" s="4">
        <f>275/374.8</f>
        <v>0.7337246531483458</v>
      </c>
    </row>
    <row r="88" spans="1:8" ht="12.75">
      <c r="A88" t="s">
        <v>1</v>
      </c>
      <c r="B88" s="4">
        <f>8/336.9</f>
        <v>0.023745918670228554</v>
      </c>
      <c r="D88" t="s">
        <v>2</v>
      </c>
      <c r="E88" s="4">
        <f>49/332.8</f>
        <v>0.14723557692307693</v>
      </c>
      <c r="G88" t="s">
        <v>1</v>
      </c>
      <c r="H88" s="4">
        <f>92/374.8</f>
        <v>0.24546424759871932</v>
      </c>
    </row>
    <row r="89" spans="1:8" ht="12.75">
      <c r="A89" t="s">
        <v>7</v>
      </c>
      <c r="B89" s="4">
        <f>1.4/336.9</f>
        <v>0.004155535767289997</v>
      </c>
      <c r="D89" t="s">
        <v>11</v>
      </c>
      <c r="E89" s="4">
        <f>4.8/332.8</f>
        <v>0.014423076923076922</v>
      </c>
      <c r="G89" t="s">
        <v>13</v>
      </c>
      <c r="H89" s="4">
        <f>7/374.8</f>
        <v>0.018676627534685165</v>
      </c>
    </row>
    <row r="90" spans="1:8" ht="13.5" thickBot="1">
      <c r="A90" t="s">
        <v>6</v>
      </c>
      <c r="B90" s="3">
        <f>0.5/336.9</f>
        <v>0.0014841199168892847</v>
      </c>
      <c r="D90" t="s">
        <v>1</v>
      </c>
      <c r="E90" s="4">
        <f>2/332.8</f>
        <v>0.006009615384615384</v>
      </c>
      <c r="G90" t="s">
        <v>7</v>
      </c>
      <c r="H90" s="4">
        <f>0.7/374.8</f>
        <v>0.0018676627534685163</v>
      </c>
    </row>
    <row r="91" spans="2:8" ht="13.5" thickBot="1">
      <c r="B91" s="1">
        <f>SUM(B86:B90)</f>
        <v>1</v>
      </c>
      <c r="D91" t="s">
        <v>6</v>
      </c>
      <c r="E91" s="3">
        <f>2/332.8</f>
        <v>0.006009615384615384</v>
      </c>
      <c r="G91" t="s">
        <v>6</v>
      </c>
      <c r="H91" s="3">
        <f>0.1/374.8</f>
        <v>0.00026680896478121667</v>
      </c>
    </row>
    <row r="92" spans="5:8" ht="12.75">
      <c r="E92" s="1">
        <f>SUM(E87:E91)</f>
        <v>1</v>
      </c>
      <c r="H92" s="1">
        <f>SUM(H87:H91)</f>
        <v>1</v>
      </c>
    </row>
    <row r="93" spans="1:2" ht="12.75">
      <c r="A93" s="22">
        <v>126</v>
      </c>
      <c r="B93" s="22"/>
    </row>
    <row r="94" spans="1:8" ht="12.75">
      <c r="A94" t="s">
        <v>3</v>
      </c>
      <c r="B94" s="4">
        <f>275/329.5</f>
        <v>0.834597875569044</v>
      </c>
      <c r="D94" s="22">
        <v>134</v>
      </c>
      <c r="E94" s="22"/>
      <c r="G94" s="22">
        <v>142</v>
      </c>
      <c r="H94" s="22"/>
    </row>
    <row r="95" spans="1:8" ht="12.75">
      <c r="A95" t="s">
        <v>2</v>
      </c>
      <c r="B95" s="4">
        <f>50/329.5</f>
        <v>0.15174506828528073</v>
      </c>
      <c r="D95" t="s">
        <v>3</v>
      </c>
      <c r="E95" s="4">
        <f>275/368.9</f>
        <v>0.7454594741122256</v>
      </c>
      <c r="G95" t="s">
        <v>3</v>
      </c>
      <c r="H95" s="4">
        <f>275/355.3</f>
        <v>0.7739938080495355</v>
      </c>
    </row>
    <row r="96" spans="1:8" ht="12.75">
      <c r="A96" t="s">
        <v>1</v>
      </c>
      <c r="B96" s="4">
        <f>2/329.5</f>
        <v>0.006069802731411229</v>
      </c>
      <c r="D96" t="s">
        <v>1</v>
      </c>
      <c r="E96" s="4">
        <f>90/368.9</f>
        <v>0.2439685551640011</v>
      </c>
      <c r="G96" t="s">
        <v>1</v>
      </c>
      <c r="H96" s="4">
        <f>66/355.3</f>
        <v>0.18575851393188855</v>
      </c>
    </row>
    <row r="97" spans="1:8" ht="12.75">
      <c r="A97" t="s">
        <v>7</v>
      </c>
      <c r="B97" s="4">
        <f>1.8/329.5</f>
        <v>0.005462822458270107</v>
      </c>
      <c r="D97" t="s">
        <v>2</v>
      </c>
      <c r="E97" s="4">
        <f>3.6/368.9</f>
        <v>0.009758742206560044</v>
      </c>
      <c r="G97" t="s">
        <v>2</v>
      </c>
      <c r="H97" s="4">
        <f>13/355.3</f>
        <v>0.036588798198705315</v>
      </c>
    </row>
    <row r="98" spans="1:8" ht="13.5" thickBot="1">
      <c r="A98" t="s">
        <v>6</v>
      </c>
      <c r="B98" s="3">
        <f>0.7/329.5</f>
        <v>0.00212443095599393</v>
      </c>
      <c r="D98" t="s">
        <v>7</v>
      </c>
      <c r="E98" s="3">
        <f>0.3/368.9</f>
        <v>0.000813228517213337</v>
      </c>
      <c r="G98" t="s">
        <v>7</v>
      </c>
      <c r="H98" s="4">
        <f>1.2/355.3</f>
        <v>0.003377427526034337</v>
      </c>
    </row>
    <row r="99" spans="2:8" ht="13.5" thickBot="1">
      <c r="B99" s="1">
        <f>SUM(B94:B98)</f>
        <v>1</v>
      </c>
      <c r="E99" s="1">
        <f>SUM(E95:E98)</f>
        <v>1</v>
      </c>
      <c r="G99" t="s">
        <v>6</v>
      </c>
      <c r="H99" s="3">
        <f>0.1/355.3</f>
        <v>0.00028145229383619476</v>
      </c>
    </row>
    <row r="100" ht="11.25" customHeight="1">
      <c r="H100" s="1">
        <f>SUM(H95:H99)</f>
        <v>1</v>
      </c>
    </row>
    <row r="101" spans="1:5" ht="12.75">
      <c r="A101" s="22">
        <v>127</v>
      </c>
      <c r="B101" s="22"/>
      <c r="D101" s="22">
        <v>135</v>
      </c>
      <c r="E101" s="22"/>
    </row>
    <row r="102" spans="1:8" ht="12.75">
      <c r="A102" t="s">
        <v>3</v>
      </c>
      <c r="B102" s="4">
        <f>275/368.8</f>
        <v>0.7456616052060737</v>
      </c>
      <c r="D102" t="s">
        <v>3</v>
      </c>
      <c r="E102" s="4">
        <f>275/353.4</f>
        <v>0.77815506508206</v>
      </c>
      <c r="G102" s="22">
        <v>143</v>
      </c>
      <c r="H102" s="22"/>
    </row>
    <row r="103" spans="1:8" ht="12.75">
      <c r="A103" t="s">
        <v>1</v>
      </c>
      <c r="B103" s="4">
        <f>90/368.8</f>
        <v>0.2440347071583514</v>
      </c>
      <c r="D103" t="s">
        <v>1</v>
      </c>
      <c r="E103" s="4">
        <f>72/353.4</f>
        <v>0.2037351443123939</v>
      </c>
      <c r="G103" t="s">
        <v>3</v>
      </c>
      <c r="H103" s="4">
        <f>275/356.8</f>
        <v>0.7707399103139013</v>
      </c>
    </row>
    <row r="104" spans="1:8" ht="12.75">
      <c r="A104" t="s">
        <v>2</v>
      </c>
      <c r="B104" s="4">
        <f>3.6/368.8</f>
        <v>0.009761388286334056</v>
      </c>
      <c r="D104" t="s">
        <v>2</v>
      </c>
      <c r="E104" s="4">
        <f>6/353.4</f>
        <v>0.01697792869269949</v>
      </c>
      <c r="G104" t="s">
        <v>1</v>
      </c>
      <c r="H104" s="4">
        <f>60/356.8</f>
        <v>0.16816143497757846</v>
      </c>
    </row>
    <row r="105" spans="1:8" ht="13.5" thickBot="1">
      <c r="A105" t="s">
        <v>7</v>
      </c>
      <c r="B105" s="4">
        <f>0.1/368.8</f>
        <v>0.00027114967462039046</v>
      </c>
      <c r="D105" t="s">
        <v>7</v>
      </c>
      <c r="E105" s="3">
        <f>0.4/353.4</f>
        <v>0.0011318619128466328</v>
      </c>
      <c r="G105" t="s">
        <v>2</v>
      </c>
      <c r="H105" s="4">
        <f>20/356.8</f>
        <v>0.05605381165919282</v>
      </c>
    </row>
    <row r="106" spans="1:8" ht="13.5" thickBot="1">
      <c r="A106" t="s">
        <v>6</v>
      </c>
      <c r="B106" s="3">
        <f>0.1/368.8</f>
        <v>0.00027114967462039046</v>
      </c>
      <c r="E106" s="1">
        <f>SUM(E102:E105)</f>
        <v>1</v>
      </c>
      <c r="G106" t="s">
        <v>7</v>
      </c>
      <c r="H106" s="4">
        <f>1.7/356.8</f>
        <v>0.00476457399103139</v>
      </c>
    </row>
    <row r="107" spans="2:8" ht="13.5" thickBot="1">
      <c r="B107" s="1">
        <f>SUM(B102:B106)</f>
        <v>1</v>
      </c>
      <c r="G107" t="s">
        <v>6</v>
      </c>
      <c r="H107" s="3">
        <f>0.1/356.8</f>
        <v>0.0002802690582959641</v>
      </c>
    </row>
    <row r="108" spans="4:8" ht="11.25" customHeight="1">
      <c r="D108" s="22">
        <v>136</v>
      </c>
      <c r="E108" s="22"/>
      <c r="H108" s="1">
        <f>SUM(H103:H107)</f>
        <v>1</v>
      </c>
    </row>
    <row r="109" spans="1:5" ht="12.75">
      <c r="A109" s="22">
        <v>128</v>
      </c>
      <c r="B109" s="22"/>
      <c r="D109" t="s">
        <v>3</v>
      </c>
      <c r="E109" s="4">
        <f>275/362</f>
        <v>0.7596685082872928</v>
      </c>
    </row>
    <row r="110" spans="1:8" ht="12.75">
      <c r="A110" t="s">
        <v>3</v>
      </c>
      <c r="B110" s="4">
        <f>275/362.8</f>
        <v>0.7579933847850054</v>
      </c>
      <c r="D110" t="s">
        <v>1</v>
      </c>
      <c r="E110" s="4">
        <f>72/362</f>
        <v>0.19889502762430938</v>
      </c>
      <c r="G110" s="22">
        <v>144</v>
      </c>
      <c r="H110" s="22"/>
    </row>
    <row r="111" spans="1:8" ht="12.75">
      <c r="A111" t="s">
        <v>1</v>
      </c>
      <c r="B111" s="4">
        <f>80/362.8</f>
        <v>0.2205071664829107</v>
      </c>
      <c r="D111" t="s">
        <v>2</v>
      </c>
      <c r="E111" s="4">
        <f>14/362</f>
        <v>0.03867403314917127</v>
      </c>
      <c r="G111" t="s">
        <v>3</v>
      </c>
      <c r="H111" s="4">
        <f>275/330</f>
        <v>0.8333333333333334</v>
      </c>
    </row>
    <row r="112" spans="1:8" ht="13.5" thickBot="1">
      <c r="A112" t="s">
        <v>2</v>
      </c>
      <c r="B112" s="4">
        <f>7.2/362.8</f>
        <v>0.019845644983461964</v>
      </c>
      <c r="D112" t="s">
        <v>7</v>
      </c>
      <c r="E112" s="3">
        <f>1/362</f>
        <v>0.0027624309392265192</v>
      </c>
      <c r="G112" t="s">
        <v>2</v>
      </c>
      <c r="H112" s="4">
        <f>48/330</f>
        <v>0.14545454545454545</v>
      </c>
    </row>
    <row r="113" spans="1:8" ht="12.75">
      <c r="A113" t="s">
        <v>10</v>
      </c>
      <c r="B113" s="4">
        <f>0.4/362.8</f>
        <v>0.0011025358324145535</v>
      </c>
      <c r="E113" s="1">
        <f>SUM(E109:E112)</f>
        <v>1</v>
      </c>
      <c r="G113" t="s">
        <v>1</v>
      </c>
      <c r="H113" s="4">
        <f>6/330</f>
        <v>0.01818181818181818</v>
      </c>
    </row>
    <row r="114" spans="1:8" ht="13.5" thickBot="1">
      <c r="A114" t="s">
        <v>7</v>
      </c>
      <c r="B114" s="3">
        <f>0.2/362.8</f>
        <v>0.0005512679162072767</v>
      </c>
      <c r="G114" t="s">
        <v>74</v>
      </c>
      <c r="H114" s="3">
        <f>1/330</f>
        <v>0.0030303030303030303</v>
      </c>
    </row>
    <row r="115" spans="2:8" ht="12.75">
      <c r="B115" s="1">
        <f>SUM(B110:B114)</f>
        <v>1</v>
      </c>
      <c r="D115" s="22">
        <v>137</v>
      </c>
      <c r="E115" s="22"/>
      <c r="H115" s="1">
        <f>SUM(H111:H114)</f>
        <v>1</v>
      </c>
    </row>
    <row r="116" spans="4:5" ht="11.25" customHeight="1">
      <c r="D116" t="s">
        <v>3</v>
      </c>
      <c r="E116" s="4">
        <f>275/338.5</f>
        <v>0.8124076809453471</v>
      </c>
    </row>
    <row r="117" spans="1:8" ht="12.75">
      <c r="A117" s="22">
        <v>129</v>
      </c>
      <c r="B117" s="22"/>
      <c r="D117" t="s">
        <v>2</v>
      </c>
      <c r="E117" s="4">
        <f>52/338.5</f>
        <v>0.1536189069423929</v>
      </c>
      <c r="G117" s="22">
        <v>145</v>
      </c>
      <c r="H117" s="22"/>
    </row>
    <row r="118" spans="1:8" ht="12.75">
      <c r="A118" t="s">
        <v>3</v>
      </c>
      <c r="B118" s="4">
        <f>275/363.5</f>
        <v>0.7565337001375516</v>
      </c>
      <c r="D118" t="s">
        <v>1</v>
      </c>
      <c r="E118" s="4">
        <f>10/338.5</f>
        <v>0.029542097488921712</v>
      </c>
      <c r="G118" t="s">
        <v>3</v>
      </c>
      <c r="H118" s="4">
        <f>275/339.4</f>
        <v>0.8102533883323513</v>
      </c>
    </row>
    <row r="119" spans="1:8" ht="13.5" thickBot="1">
      <c r="A119" t="s">
        <v>1</v>
      </c>
      <c r="B119" s="4">
        <f>76/363.5</f>
        <v>0.20907840440165062</v>
      </c>
      <c r="D119" t="s">
        <v>7</v>
      </c>
      <c r="E119" s="3">
        <f>1.5/338.5</f>
        <v>0.004431314623338257</v>
      </c>
      <c r="G119" t="s">
        <v>2</v>
      </c>
      <c r="H119" s="4">
        <f>42/339.4</f>
        <v>0.12374779021803183</v>
      </c>
    </row>
    <row r="120" spans="1:8" ht="12.75">
      <c r="A120" t="s">
        <v>2</v>
      </c>
      <c r="B120" s="4">
        <f>12/363.5</f>
        <v>0.033012379642365884</v>
      </c>
      <c r="E120" s="1">
        <f>SUM(E116:E119)</f>
        <v>0.9999999999999999</v>
      </c>
      <c r="G120" t="s">
        <v>1</v>
      </c>
      <c r="H120" s="4">
        <f>15/339.4</f>
        <v>0.0441956393635828</v>
      </c>
    </row>
    <row r="121" spans="1:8" ht="12.75">
      <c r="A121" t="s">
        <v>7</v>
      </c>
      <c r="B121" s="4">
        <f>0.3/363.5</f>
        <v>0.0008253094910591471</v>
      </c>
      <c r="G121" t="s">
        <v>7</v>
      </c>
      <c r="H121" s="4">
        <f>7/339.4</f>
        <v>0.020624631703005304</v>
      </c>
    </row>
    <row r="122" spans="1:8" ht="13.5" thickBot="1">
      <c r="A122" t="s">
        <v>10</v>
      </c>
      <c r="B122" s="3">
        <f>0.2/363.5</f>
        <v>0.0005502063273727648</v>
      </c>
      <c r="G122" t="s">
        <v>6</v>
      </c>
      <c r="H122" s="3">
        <f>0.4/339.4</f>
        <v>0.0011785503830288747</v>
      </c>
    </row>
    <row r="123" spans="2:8" ht="11.25" customHeight="1">
      <c r="B123" s="1">
        <f>SUM(B118:B122)</f>
        <v>1</v>
      </c>
      <c r="H123" s="1">
        <f>SUM(H118:H122)</f>
        <v>1.0000000000000002</v>
      </c>
    </row>
    <row r="124" spans="2:8" ht="11.25" customHeight="1">
      <c r="B124" s="1"/>
      <c r="H124" s="1"/>
    </row>
    <row r="125" spans="1:8" ht="12.75">
      <c r="A125" s="22">
        <v>146</v>
      </c>
      <c r="B125" s="22"/>
      <c r="D125" s="22">
        <v>154</v>
      </c>
      <c r="E125" s="22"/>
      <c r="G125" s="22">
        <v>162</v>
      </c>
      <c r="H125" s="22"/>
    </row>
    <row r="126" spans="1:8" ht="12.75">
      <c r="A126" t="s">
        <v>3</v>
      </c>
      <c r="B126" s="4">
        <f>275/339.9</f>
        <v>0.8090614886731392</v>
      </c>
      <c r="D126" t="s">
        <v>3</v>
      </c>
      <c r="E126" s="4">
        <f>275/332.7</f>
        <v>0.826570483919447</v>
      </c>
      <c r="G126" t="s">
        <v>3</v>
      </c>
      <c r="H126" s="4">
        <f>275/366.8</f>
        <v>0.7497273718647764</v>
      </c>
    </row>
    <row r="127" spans="1:8" ht="12.75">
      <c r="A127" t="s">
        <v>2</v>
      </c>
      <c r="B127" s="4">
        <f>41/339.9</f>
        <v>0.12062371285672258</v>
      </c>
      <c r="D127" t="s">
        <v>2</v>
      </c>
      <c r="E127" s="4">
        <f>52/332.7</f>
        <v>0.15629696423204087</v>
      </c>
      <c r="G127" t="s">
        <v>1</v>
      </c>
      <c r="H127" s="4">
        <f>90/366.8</f>
        <v>0.24536532170119957</v>
      </c>
    </row>
    <row r="128" spans="1:8" ht="12.75">
      <c r="A128" t="s">
        <v>1</v>
      </c>
      <c r="B128" s="4">
        <f>16/339.9</f>
        <v>0.047072668431891736</v>
      </c>
      <c r="D128" t="s">
        <v>1</v>
      </c>
      <c r="E128" s="4">
        <f>2.8/332.7</f>
        <v>0.008415990381725278</v>
      </c>
      <c r="G128" t="s">
        <v>2</v>
      </c>
      <c r="H128" s="4">
        <f>0.8/366.8</f>
        <v>0.0021810250817884407</v>
      </c>
    </row>
    <row r="129" spans="1:8" ht="12.75">
      <c r="A129" t="s">
        <v>7</v>
      </c>
      <c r="B129" s="4">
        <f>6.8/339.9</f>
        <v>0.020005884083553988</v>
      </c>
      <c r="D129" t="s">
        <v>74</v>
      </c>
      <c r="E129" s="4">
        <f>2.4/332.7</f>
        <v>0.007213706041478809</v>
      </c>
      <c r="G129" t="s">
        <v>7</v>
      </c>
      <c r="H129" s="4">
        <f>0.8/366.8</f>
        <v>0.0021810250817884407</v>
      </c>
    </row>
    <row r="130" spans="1:8" ht="13.5" thickBot="1">
      <c r="A130" t="s">
        <v>6</v>
      </c>
      <c r="B130" s="3">
        <f>1.1/339.9</f>
        <v>0.0032362459546925572</v>
      </c>
      <c r="D130" t="s">
        <v>6</v>
      </c>
      <c r="E130" s="3">
        <f>0.5/332.7</f>
        <v>0.0015028554253080854</v>
      </c>
      <c r="G130" t="s">
        <v>10</v>
      </c>
      <c r="H130" s="3">
        <f>0.2/366.8</f>
        <v>0.0005452562704471102</v>
      </c>
    </row>
    <row r="131" spans="2:8" ht="12.75">
      <c r="B131" s="1">
        <f>SUM(B126:B130)</f>
        <v>1</v>
      </c>
      <c r="E131" s="1">
        <f>SUM(E126:E130)</f>
        <v>1</v>
      </c>
      <c r="H131" s="1">
        <f>SUM(H126:H130)</f>
        <v>1</v>
      </c>
    </row>
    <row r="132" ht="11.25" customHeight="1"/>
    <row r="133" spans="1:8" ht="12.75">
      <c r="A133" s="22">
        <v>147</v>
      </c>
      <c r="B133" s="22"/>
      <c r="D133" s="22">
        <v>155</v>
      </c>
      <c r="E133" s="22"/>
      <c r="G133" s="22">
        <v>163</v>
      </c>
      <c r="H133" s="22"/>
    </row>
    <row r="134" spans="1:8" ht="12.75">
      <c r="A134" t="s">
        <v>3</v>
      </c>
      <c r="B134" s="4">
        <f>275/330</f>
        <v>0.8333333333333334</v>
      </c>
      <c r="D134" t="s">
        <v>3</v>
      </c>
      <c r="E134" s="4">
        <f>275/376.2</f>
        <v>0.7309941520467836</v>
      </c>
      <c r="G134" t="s">
        <v>3</v>
      </c>
      <c r="H134" s="4">
        <f>275/364.4</f>
        <v>0.7546652030735456</v>
      </c>
    </row>
    <row r="135" spans="1:8" ht="12.75">
      <c r="A135" t="s">
        <v>2</v>
      </c>
      <c r="B135" s="4">
        <f>48/330</f>
        <v>0.14545454545454545</v>
      </c>
      <c r="D135" t="s">
        <v>1</v>
      </c>
      <c r="E135" s="4">
        <f>100/376.2</f>
        <v>0.2658160552897395</v>
      </c>
      <c r="G135" t="s">
        <v>1</v>
      </c>
      <c r="H135" s="4">
        <f>80/364.4</f>
        <v>0.21953896816684962</v>
      </c>
    </row>
    <row r="136" spans="1:8" ht="12.75">
      <c r="A136" t="s">
        <v>74</v>
      </c>
      <c r="B136" s="4">
        <f>2.8/330</f>
        <v>0.008484848484848484</v>
      </c>
      <c r="D136" t="s">
        <v>2</v>
      </c>
      <c r="E136" s="4">
        <f>0.8/376.2</f>
        <v>0.002126528442317916</v>
      </c>
      <c r="G136" t="s">
        <v>2</v>
      </c>
      <c r="H136" s="4">
        <f>5.8/364.4</f>
        <v>0.015916575192096598</v>
      </c>
    </row>
    <row r="137" spans="1:8" ht="13.5" thickBot="1">
      <c r="A137" t="s">
        <v>6</v>
      </c>
      <c r="B137" s="4">
        <f>2.2/330</f>
        <v>0.006666666666666667</v>
      </c>
      <c r="D137" t="s">
        <v>7</v>
      </c>
      <c r="E137" s="4">
        <f>0.3/376.2</f>
        <v>0.0007974481658692185</v>
      </c>
      <c r="G137" t="s">
        <v>7</v>
      </c>
      <c r="H137" s="3">
        <f>3.6/364.4</f>
        <v>0.009879253567508234</v>
      </c>
    </row>
    <row r="138" spans="1:8" ht="13.5" thickBot="1">
      <c r="A138" t="s">
        <v>1</v>
      </c>
      <c r="B138" s="3">
        <f>2/330</f>
        <v>0.006060606060606061</v>
      </c>
      <c r="D138" t="s">
        <v>6</v>
      </c>
      <c r="E138" s="3">
        <f>0.1/376.2</f>
        <v>0.0002658160552897395</v>
      </c>
      <c r="H138" s="1">
        <f>SUM(H134:H137)</f>
        <v>0.9999999999999999</v>
      </c>
    </row>
    <row r="139" spans="2:5" ht="11.25" customHeight="1">
      <c r="B139" s="1">
        <f>SUM(B134:B138)</f>
        <v>1</v>
      </c>
      <c r="E139" s="1">
        <f>SUM(E134:E138)</f>
        <v>1</v>
      </c>
    </row>
    <row r="140" spans="7:8" ht="11.25" customHeight="1">
      <c r="G140" s="22">
        <v>164</v>
      </c>
      <c r="H140" s="22"/>
    </row>
    <row r="141" spans="1:8" ht="12.75">
      <c r="A141" s="22">
        <v>148</v>
      </c>
      <c r="B141" s="22"/>
      <c r="D141" s="22">
        <v>156</v>
      </c>
      <c r="E141" s="22"/>
      <c r="G141" t="s">
        <v>3</v>
      </c>
      <c r="H141" s="4">
        <f>275/344.2</f>
        <v>0.7989540964555492</v>
      </c>
    </row>
    <row r="142" spans="1:8" ht="12.75">
      <c r="A142" t="s">
        <v>3</v>
      </c>
      <c r="B142" s="4">
        <f>275/367.1</f>
        <v>0.7491146826477798</v>
      </c>
      <c r="D142" t="s">
        <v>3</v>
      </c>
      <c r="E142" s="4">
        <f>275/357.4</f>
        <v>0.7694459988808059</v>
      </c>
      <c r="G142" t="s">
        <v>2</v>
      </c>
      <c r="H142" s="4">
        <f>36/344.2</f>
        <v>0.10459035444509007</v>
      </c>
    </row>
    <row r="143" spans="1:8" ht="12.75">
      <c r="A143" t="s">
        <v>1</v>
      </c>
      <c r="B143" s="4">
        <f>90/367.1</f>
        <v>0.2451648052301825</v>
      </c>
      <c r="D143" t="s">
        <v>1</v>
      </c>
      <c r="E143" s="4">
        <f>80/357.4</f>
        <v>0.22383883603805263</v>
      </c>
      <c r="G143" t="s">
        <v>7</v>
      </c>
      <c r="H143" s="4">
        <f>7.2/344.2</f>
        <v>0.020918070889018012</v>
      </c>
    </row>
    <row r="144" spans="1:8" ht="13.5" thickBot="1">
      <c r="A144" t="s">
        <v>2</v>
      </c>
      <c r="B144" s="4">
        <f>1.2/367.1</f>
        <v>0.0032688640697357664</v>
      </c>
      <c r="D144" t="s">
        <v>2</v>
      </c>
      <c r="E144" s="4">
        <f>1.6/357.4</f>
        <v>0.004476776720761052</v>
      </c>
      <c r="G144" t="s">
        <v>1</v>
      </c>
      <c r="H144" s="3">
        <f>26/344.2</f>
        <v>0.07553747821034283</v>
      </c>
    </row>
    <row r="145" spans="1:8" ht="12.75">
      <c r="A145" t="s">
        <v>7</v>
      </c>
      <c r="B145" s="4">
        <f>0.5/367.1</f>
        <v>0.001362026695723236</v>
      </c>
      <c r="D145" t="s">
        <v>7</v>
      </c>
      <c r="E145" s="4">
        <f>0.7/357.4</f>
        <v>0.00195858981533296</v>
      </c>
      <c r="H145" s="1">
        <f>SUM(H141:H144)</f>
        <v>1</v>
      </c>
    </row>
    <row r="146" spans="1:5" ht="13.5" thickBot="1">
      <c r="A146" t="s">
        <v>10</v>
      </c>
      <c r="B146" s="3">
        <f>0.4/367.1</f>
        <v>0.001089621356578589</v>
      </c>
      <c r="D146" t="s">
        <v>6</v>
      </c>
      <c r="E146" s="3">
        <f>0.1/357.4</f>
        <v>0.0002797985450475658</v>
      </c>
    </row>
    <row r="147" spans="2:8" ht="12" customHeight="1">
      <c r="B147" s="1">
        <f>SUM(B142:B146)</f>
        <v>1</v>
      </c>
      <c r="E147" s="1">
        <f>SUM(E142:E146)</f>
        <v>1.0000000000000002</v>
      </c>
      <c r="G147" s="22">
        <v>165</v>
      </c>
      <c r="H147" s="22"/>
    </row>
    <row r="148" spans="7:8" ht="11.25" customHeight="1">
      <c r="G148" t="s">
        <v>3</v>
      </c>
      <c r="H148" s="4">
        <f>275/344</f>
        <v>0.7994186046511628</v>
      </c>
    </row>
    <row r="149" spans="1:8" ht="12.75">
      <c r="A149" s="22">
        <v>149</v>
      </c>
      <c r="B149" s="22"/>
      <c r="D149" s="22">
        <v>157</v>
      </c>
      <c r="E149" s="22"/>
      <c r="G149" t="s">
        <v>2</v>
      </c>
      <c r="H149" s="4">
        <f>48/344</f>
        <v>0.13953488372093023</v>
      </c>
    </row>
    <row r="150" spans="1:8" ht="12.75">
      <c r="A150" t="s">
        <v>3</v>
      </c>
      <c r="B150" s="4">
        <f>275/356.8</f>
        <v>0.7707399103139013</v>
      </c>
      <c r="D150" t="s">
        <v>3</v>
      </c>
      <c r="E150" s="4">
        <f>275/343.7</f>
        <v>0.8001163805644458</v>
      </c>
      <c r="G150" t="s">
        <v>7</v>
      </c>
      <c r="H150" s="4">
        <f>10/344</f>
        <v>0.029069767441860465</v>
      </c>
    </row>
    <row r="151" spans="1:8" ht="12.75">
      <c r="A151" t="s">
        <v>1</v>
      </c>
      <c r="B151" s="4">
        <f>80/356.8</f>
        <v>0.22421524663677128</v>
      </c>
      <c r="D151" t="s">
        <v>1</v>
      </c>
      <c r="E151" s="4">
        <f>60/343.7</f>
        <v>0.17457084666860634</v>
      </c>
      <c r="G151" t="s">
        <v>15</v>
      </c>
      <c r="H151" s="4">
        <f>7/344</f>
        <v>0.020348837209302327</v>
      </c>
    </row>
    <row r="152" spans="1:8" ht="13.5" thickBot="1">
      <c r="A152" t="s">
        <v>2</v>
      </c>
      <c r="B152" s="4">
        <f>1.2/356.8</f>
        <v>0.0033632286995515692</v>
      </c>
      <c r="D152" t="s">
        <v>2</v>
      </c>
      <c r="E152" s="4">
        <f>6/343.7</f>
        <v>0.017457084666860634</v>
      </c>
      <c r="G152" t="s">
        <v>1</v>
      </c>
      <c r="H152" s="3">
        <f>4/344</f>
        <v>0.011627906976744186</v>
      </c>
    </row>
    <row r="153" spans="1:8" ht="12" customHeight="1">
      <c r="A153" t="s">
        <v>7</v>
      </c>
      <c r="B153" s="4">
        <f>0.4/356.8</f>
        <v>0.0011210762331838565</v>
      </c>
      <c r="D153" t="s">
        <v>7</v>
      </c>
      <c r="E153" s="4">
        <f>2.6/343.7</f>
        <v>0.007564736688972942</v>
      </c>
      <c r="H153" s="1">
        <f>SUM(H148:H152)</f>
        <v>1</v>
      </c>
    </row>
    <row r="154" spans="1:5" ht="12" customHeight="1" thickBot="1">
      <c r="A154" t="s">
        <v>10</v>
      </c>
      <c r="B154" s="3">
        <f>0.2/356.8</f>
        <v>0.0005605381165919282</v>
      </c>
      <c r="D154" t="s">
        <v>6</v>
      </c>
      <c r="E154" s="3">
        <f>0.1/343.7</f>
        <v>0.0002909514111143439</v>
      </c>
    </row>
    <row r="155" spans="2:8" ht="12" customHeight="1">
      <c r="B155" s="1">
        <f>SUM(B150:B154)</f>
        <v>0.9999999999999999</v>
      </c>
      <c r="E155" s="1">
        <f>SUM(E150:E154)</f>
        <v>1</v>
      </c>
      <c r="G155" s="22">
        <v>166</v>
      </c>
      <c r="H155" s="22"/>
    </row>
    <row r="156" spans="7:8" ht="11.25" customHeight="1">
      <c r="G156" t="s">
        <v>3</v>
      </c>
      <c r="H156" s="4">
        <f>275/336.1</f>
        <v>0.8182088664088069</v>
      </c>
    </row>
    <row r="157" spans="1:8" ht="12" customHeight="1">
      <c r="A157" s="22">
        <v>150</v>
      </c>
      <c r="B157" s="22"/>
      <c r="D157" s="22">
        <v>158</v>
      </c>
      <c r="E157" s="22"/>
      <c r="G157" t="s">
        <v>2</v>
      </c>
      <c r="H157" s="4">
        <f>44/336.1</f>
        <v>0.1309134186254091</v>
      </c>
    </row>
    <row r="158" spans="1:8" ht="12.75">
      <c r="A158" t="s">
        <v>3</v>
      </c>
      <c r="B158" s="4">
        <f>275/362.2</f>
        <v>0.7592490336830481</v>
      </c>
      <c r="D158" t="s">
        <v>3</v>
      </c>
      <c r="E158" s="4">
        <f>275/335.5</f>
        <v>0.819672131147541</v>
      </c>
      <c r="G158" t="s">
        <v>7</v>
      </c>
      <c r="H158" s="4">
        <f>13/336.1</f>
        <v>0.03867896459387087</v>
      </c>
    </row>
    <row r="159" spans="1:8" ht="12.75">
      <c r="A159" t="s">
        <v>1</v>
      </c>
      <c r="B159" s="4">
        <f>72/362.2</f>
        <v>0.19878520154610713</v>
      </c>
      <c r="D159" t="s">
        <v>2</v>
      </c>
      <c r="E159" s="4">
        <f>48/335.5</f>
        <v>0.14307004470938897</v>
      </c>
      <c r="G159" t="s">
        <v>1</v>
      </c>
      <c r="H159" s="4">
        <f>4/336.1</f>
        <v>0.011901219875037191</v>
      </c>
    </row>
    <row r="160" spans="1:8" ht="13.5" thickBot="1">
      <c r="A160" t="s">
        <v>2</v>
      </c>
      <c r="B160" s="4">
        <f>13.6/362.2</f>
        <v>0.03754831584759801</v>
      </c>
      <c r="D160" t="s">
        <v>7</v>
      </c>
      <c r="E160" s="4">
        <f>10.4/335.5</f>
        <v>0.030998509687034277</v>
      </c>
      <c r="G160" t="s">
        <v>6</v>
      </c>
      <c r="H160" s="3">
        <f>0.1/336.1</f>
        <v>0.0002975304968759298</v>
      </c>
    </row>
    <row r="161" spans="1:8" ht="13.5" thickBot="1">
      <c r="A161" t="s">
        <v>7</v>
      </c>
      <c r="B161" s="3">
        <f>1.6/362.2</f>
        <v>0.004417448923246825</v>
      </c>
      <c r="D161" t="s">
        <v>1</v>
      </c>
      <c r="E161" s="4">
        <f>2/335.5</f>
        <v>0.005961251862891207</v>
      </c>
      <c r="H161" s="1">
        <f>SUM(H156:H160)</f>
        <v>1</v>
      </c>
    </row>
    <row r="162" spans="2:5" ht="13.5" thickBot="1">
      <c r="B162" s="1">
        <f>SUM(B158:B161)</f>
        <v>1</v>
      </c>
      <c r="D162" t="s">
        <v>6</v>
      </c>
      <c r="E162" s="3">
        <f>0.1/335.5</f>
        <v>0.00029806259314456036</v>
      </c>
    </row>
    <row r="163" spans="5:8" ht="11.25" customHeight="1">
      <c r="E163" s="1">
        <f>SUM(E158:E162)</f>
        <v>1</v>
      </c>
      <c r="G163" s="22">
        <v>167</v>
      </c>
      <c r="H163" s="22"/>
    </row>
    <row r="164" spans="1:8" ht="12" customHeight="1">
      <c r="A164" s="22">
        <v>151</v>
      </c>
      <c r="B164" s="22"/>
      <c r="G164" t="s">
        <v>3</v>
      </c>
      <c r="H164" s="4">
        <f>275/336.2</f>
        <v>0.817965496728138</v>
      </c>
    </row>
    <row r="165" spans="1:8" ht="12.75">
      <c r="A165" t="s">
        <v>3</v>
      </c>
      <c r="B165" s="4">
        <f>275/333.8</f>
        <v>0.8238466147393648</v>
      </c>
      <c r="D165" s="22">
        <v>159</v>
      </c>
      <c r="E165" s="22"/>
      <c r="G165" t="s">
        <v>2</v>
      </c>
      <c r="H165" s="4">
        <f>38/336.2</f>
        <v>0.11302795954788816</v>
      </c>
    </row>
    <row r="166" spans="1:8" ht="12" customHeight="1">
      <c r="A166" t="s">
        <v>2</v>
      </c>
      <c r="B166" s="4">
        <f>52/333.8</f>
        <v>0.15578190533253444</v>
      </c>
      <c r="D166" t="s">
        <v>3</v>
      </c>
      <c r="E166" s="4">
        <f>275/338.3</f>
        <v>0.812887969258055</v>
      </c>
      <c r="G166" t="s">
        <v>7</v>
      </c>
      <c r="H166" s="4">
        <f>19.6/336.2</f>
        <v>0.05829863176680548</v>
      </c>
    </row>
    <row r="167" spans="1:8" ht="12" customHeight="1">
      <c r="A167" t="s">
        <v>7</v>
      </c>
      <c r="B167" s="4">
        <f>4.8/333.8</f>
        <v>0.014379868184541641</v>
      </c>
      <c r="D167" t="s">
        <v>2</v>
      </c>
      <c r="E167" s="4">
        <f>44/338.3</f>
        <v>0.13006207508128878</v>
      </c>
      <c r="G167" t="s">
        <v>1</v>
      </c>
      <c r="H167" s="4">
        <f>3/336.2</f>
        <v>0.00892325996430696</v>
      </c>
    </row>
    <row r="168" spans="1:8" ht="12" customHeight="1" thickBot="1">
      <c r="A168" t="s">
        <v>1</v>
      </c>
      <c r="B168" s="3">
        <f>2/333.8</f>
        <v>0.005991611743559017</v>
      </c>
      <c r="D168" t="s">
        <v>7</v>
      </c>
      <c r="E168" s="4">
        <f>16/338.3</f>
        <v>0.04729530002955956</v>
      </c>
      <c r="G168" t="s">
        <v>6</v>
      </c>
      <c r="H168" s="3">
        <f>0.6/336.2</f>
        <v>0.001784651992861392</v>
      </c>
    </row>
    <row r="169" spans="2:8" ht="12.75">
      <c r="B169" s="1">
        <f>SUM(B165:B168)</f>
        <v>0.9999999999999999</v>
      </c>
      <c r="D169" t="s">
        <v>1</v>
      </c>
      <c r="E169" s="4">
        <f>3/338.3</f>
        <v>0.008867868755542418</v>
      </c>
      <c r="H169" s="1">
        <f>SUM(H164:H168)</f>
        <v>1</v>
      </c>
    </row>
    <row r="170" spans="4:5" ht="11.25" customHeight="1" thickBot="1">
      <c r="D170" t="s">
        <v>6</v>
      </c>
      <c r="E170" s="3">
        <f>0.3/338.3</f>
        <v>0.0008867868755542417</v>
      </c>
    </row>
    <row r="171" spans="1:8" ht="12" customHeight="1">
      <c r="A171" s="22">
        <v>152</v>
      </c>
      <c r="B171" s="22"/>
      <c r="E171" s="1">
        <f>SUM(E166:E170)</f>
        <v>0.9999999999999999</v>
      </c>
      <c r="G171" s="22">
        <v>168</v>
      </c>
      <c r="H171" s="22"/>
    </row>
    <row r="172" spans="1:8" ht="12.75">
      <c r="A172" t="s">
        <v>3</v>
      </c>
      <c r="B172" s="4">
        <f>275/340.9</f>
        <v>0.8066881783514228</v>
      </c>
      <c r="G172" t="s">
        <v>3</v>
      </c>
      <c r="H172" s="4">
        <f>275/339</f>
        <v>0.8112094395280236</v>
      </c>
    </row>
    <row r="173" spans="1:8" ht="12.75">
      <c r="A173" t="s">
        <v>2</v>
      </c>
      <c r="B173" s="4">
        <f>49/340.9</f>
        <v>0.14373716632443534</v>
      </c>
      <c r="D173" s="22">
        <v>160</v>
      </c>
      <c r="E173" s="22"/>
      <c r="G173" t="s">
        <v>7</v>
      </c>
      <c r="H173" s="4">
        <f>44/339</f>
        <v>0.12979351032448377</v>
      </c>
    </row>
    <row r="174" spans="1:8" ht="12" customHeight="1">
      <c r="A174" t="s">
        <v>7</v>
      </c>
      <c r="B174" s="4">
        <f>8.8/340.9</f>
        <v>0.02581402170724553</v>
      </c>
      <c r="D174" t="s">
        <v>3</v>
      </c>
      <c r="E174" s="4">
        <f>275/325.8</f>
        <v>0.8440761203192142</v>
      </c>
      <c r="G174" t="s">
        <v>2</v>
      </c>
      <c r="H174" s="4">
        <f>12/339</f>
        <v>0.035398230088495575</v>
      </c>
    </row>
    <row r="175" spans="1:8" ht="12.75">
      <c r="A175" t="s">
        <v>1</v>
      </c>
      <c r="B175" s="4">
        <f>8/340.9</f>
        <v>0.0234672924611323</v>
      </c>
      <c r="D175" t="s">
        <v>2</v>
      </c>
      <c r="E175" s="4">
        <f>45/325.8</f>
        <v>0.13812154696132597</v>
      </c>
      <c r="G175" t="s">
        <v>1</v>
      </c>
      <c r="H175" s="4">
        <f>2/339</f>
        <v>0.0058997050147492625</v>
      </c>
    </row>
    <row r="176" spans="1:8" ht="12" customHeight="1" thickBot="1">
      <c r="A176" t="s">
        <v>6</v>
      </c>
      <c r="B176" s="3">
        <f>0.1/340.9</f>
        <v>0.00029334115576415377</v>
      </c>
      <c r="D176" t="s">
        <v>74</v>
      </c>
      <c r="E176" s="4">
        <f>3.4/325.8</f>
        <v>0.010435850214855739</v>
      </c>
      <c r="G176" t="s">
        <v>6</v>
      </c>
      <c r="H176" s="3">
        <f>6/339</f>
        <v>0.017699115044247787</v>
      </c>
    </row>
    <row r="177" spans="2:8" ht="12" customHeight="1">
      <c r="B177" s="1">
        <f>SUM(B172:B176)</f>
        <v>1.0000000000000002</v>
      </c>
      <c r="D177" t="s">
        <v>1</v>
      </c>
      <c r="E177" s="4">
        <f>2/325.8</f>
        <v>0.006138735420503376</v>
      </c>
      <c r="H177" s="1">
        <f>SUM(H172:H176)</f>
        <v>1</v>
      </c>
    </row>
    <row r="178" spans="4:5" ht="11.25" customHeight="1" thickBot="1">
      <c r="D178" t="s">
        <v>6</v>
      </c>
      <c r="E178" s="3">
        <f>0.4/325.8</f>
        <v>0.0012277470841006754</v>
      </c>
    </row>
    <row r="179" spans="1:8" ht="11.25" customHeight="1">
      <c r="A179" s="22">
        <v>153</v>
      </c>
      <c r="B179" s="22"/>
      <c r="E179" s="1">
        <f>SUM(E174:E178)</f>
        <v>0.9999999999999999</v>
      </c>
      <c r="G179" s="22">
        <v>169</v>
      </c>
      <c r="H179" s="22"/>
    </row>
    <row r="180" spans="1:8" ht="12.75">
      <c r="A180" t="s">
        <v>3</v>
      </c>
      <c r="B180" s="4">
        <f>275/335.8</f>
        <v>0.8189398451459201</v>
      </c>
      <c r="G180" t="s">
        <v>3</v>
      </c>
      <c r="H180" s="4">
        <f>275/333.8</f>
        <v>0.8238466147393648</v>
      </c>
    </row>
    <row r="181" spans="1:8" ht="12" customHeight="1">
      <c r="A181" t="s">
        <v>2</v>
      </c>
      <c r="B181" s="4">
        <f>52.4/335.8</f>
        <v>0.15604526503871352</v>
      </c>
      <c r="D181" s="22">
        <v>161</v>
      </c>
      <c r="E181" s="22"/>
      <c r="G181" t="s">
        <v>1</v>
      </c>
      <c r="H181" s="4">
        <f>56/333.8</f>
        <v>0.16776512881965247</v>
      </c>
    </row>
    <row r="182" spans="1:8" ht="11.25" customHeight="1">
      <c r="A182" t="s">
        <v>7</v>
      </c>
      <c r="B182" s="4">
        <f>5.4/335.8</f>
        <v>0.016081000595592615</v>
      </c>
      <c r="D182" t="s">
        <v>3</v>
      </c>
      <c r="E182" s="4">
        <f>275/332</f>
        <v>0.8283132530120482</v>
      </c>
      <c r="G182" t="s">
        <v>7</v>
      </c>
      <c r="H182" s="4">
        <f>1.2/333.8</f>
        <v>0.0035949670461354103</v>
      </c>
    </row>
    <row r="183" spans="1:8" ht="12" customHeight="1">
      <c r="A183" t="s">
        <v>1</v>
      </c>
      <c r="B183" s="4">
        <f>2.6/335.8</f>
        <v>0.007742703990470518</v>
      </c>
      <c r="D183" t="s">
        <v>7</v>
      </c>
      <c r="E183" s="4">
        <f>26/332</f>
        <v>0.0783132530120482</v>
      </c>
      <c r="G183" t="s">
        <v>2</v>
      </c>
      <c r="H183" s="4">
        <f>1.2/333.8</f>
        <v>0.0035949670461354103</v>
      </c>
    </row>
    <row r="184" spans="1:8" ht="12.75" customHeight="1" thickBot="1">
      <c r="A184" t="s">
        <v>6</v>
      </c>
      <c r="B184" s="3">
        <f>0.4/335.8</f>
        <v>0.0011911852293031567</v>
      </c>
      <c r="D184" t="s">
        <v>2</v>
      </c>
      <c r="E184" s="4">
        <f>23/332</f>
        <v>0.06927710843373494</v>
      </c>
      <c r="G184" t="s">
        <v>10</v>
      </c>
      <c r="H184" s="3">
        <f>0.4/333.8</f>
        <v>0.0011983223487118035</v>
      </c>
    </row>
    <row r="185" spans="2:8" ht="11.25" customHeight="1">
      <c r="B185" s="1">
        <f>SUM(B180:B184)</f>
        <v>0.9999999999999999</v>
      </c>
      <c r="D185" t="s">
        <v>1</v>
      </c>
      <c r="E185" s="4">
        <f>5.6/332</f>
        <v>0.016867469879518072</v>
      </c>
      <c r="H185" s="1">
        <f>SUM(H180:H184)</f>
        <v>0.9999999999999998</v>
      </c>
    </row>
    <row r="186" spans="4:5" ht="11.25" customHeight="1" thickBot="1">
      <c r="D186" t="s">
        <v>6</v>
      </c>
      <c r="E186" s="3">
        <f>2.4/332</f>
        <v>0.007228915662650602</v>
      </c>
    </row>
    <row r="187" ht="11.25" customHeight="1">
      <c r="E187" s="1">
        <f>SUM(E182:E186)</f>
        <v>0.9999999999999999</v>
      </c>
    </row>
    <row r="188" ht="11.25" customHeight="1">
      <c r="E188" s="1"/>
    </row>
    <row r="189" ht="11.25" customHeight="1">
      <c r="E189" s="1"/>
    </row>
    <row r="190" spans="1:8" ht="12" customHeight="1">
      <c r="A190" s="22">
        <v>170</v>
      </c>
      <c r="B190" s="22"/>
      <c r="D190" s="22">
        <v>178</v>
      </c>
      <c r="E190" s="22"/>
      <c r="G190" s="22">
        <v>186</v>
      </c>
      <c r="H190" s="22"/>
    </row>
    <row r="191" spans="1:8" ht="12" customHeight="1">
      <c r="A191" t="s">
        <v>3</v>
      </c>
      <c r="B191" s="4">
        <f>275/379.4</f>
        <v>0.7248286768581972</v>
      </c>
      <c r="D191" t="s">
        <v>3</v>
      </c>
      <c r="E191" s="4">
        <f>275/345</f>
        <v>0.7971014492753623</v>
      </c>
      <c r="G191" t="s">
        <v>3</v>
      </c>
      <c r="H191" s="4">
        <f>275/336.8</f>
        <v>0.8165083135391924</v>
      </c>
    </row>
    <row r="192" spans="1:8" ht="12.75">
      <c r="A192" t="s">
        <v>1</v>
      </c>
      <c r="B192" s="4">
        <f>90/379.4</f>
        <v>0.23721665788086455</v>
      </c>
      <c r="D192" t="s">
        <v>1</v>
      </c>
      <c r="E192" s="4">
        <f>50/345</f>
        <v>0.14492753623188406</v>
      </c>
      <c r="G192" t="s">
        <v>7</v>
      </c>
      <c r="H192" s="4">
        <f>26/336.8</f>
        <v>0.07719714964370546</v>
      </c>
    </row>
    <row r="193" spans="1:8" ht="12" customHeight="1">
      <c r="A193" t="s">
        <v>7</v>
      </c>
      <c r="B193" s="4">
        <f>10/379.4</f>
        <v>0.02635740643120717</v>
      </c>
      <c r="D193" t="s">
        <v>7</v>
      </c>
      <c r="E193" s="4">
        <f>16/345</f>
        <v>0.0463768115942029</v>
      </c>
      <c r="G193" t="s">
        <v>16</v>
      </c>
      <c r="H193" s="4">
        <f>21.2/336.8</f>
        <v>0.06294536817102138</v>
      </c>
    </row>
    <row r="194" spans="1:8" ht="13.5" thickBot="1">
      <c r="A194" t="s">
        <v>2</v>
      </c>
      <c r="B194" s="4">
        <f>4/379.4</f>
        <v>0.010542962572482868</v>
      </c>
      <c r="D194" t="s">
        <v>15</v>
      </c>
      <c r="E194" s="3">
        <f>4/345</f>
        <v>0.011594202898550725</v>
      </c>
      <c r="G194" t="s">
        <v>74</v>
      </c>
      <c r="H194" s="4">
        <f>9.6/336.8</f>
        <v>0.02850356294536817</v>
      </c>
    </row>
    <row r="195" spans="1:8" ht="13.5" thickBot="1">
      <c r="A195" t="s">
        <v>10</v>
      </c>
      <c r="B195" s="3">
        <f>0.4/379.4</f>
        <v>0.0010542962572482868</v>
      </c>
      <c r="E195" s="1">
        <f>SUM(E191:E194)</f>
        <v>1</v>
      </c>
      <c r="G195" t="s">
        <v>1</v>
      </c>
      <c r="H195" s="3">
        <f>5/336.8</f>
        <v>0.014845605700712588</v>
      </c>
    </row>
    <row r="196" spans="2:8" ht="12" customHeight="1">
      <c r="B196" s="1">
        <f>SUM(B191:B195)</f>
        <v>1</v>
      </c>
      <c r="H196" s="1">
        <f>SUM(H191:H195)</f>
        <v>1</v>
      </c>
    </row>
    <row r="197" spans="2:5" ht="12" customHeight="1">
      <c r="B197" s="1"/>
      <c r="D197" s="22">
        <v>179</v>
      </c>
      <c r="E197" s="22"/>
    </row>
    <row r="198" spans="1:8" ht="12.75">
      <c r="A198" s="22">
        <v>171</v>
      </c>
      <c r="B198" s="22"/>
      <c r="D198" t="s">
        <v>3</v>
      </c>
      <c r="E198" s="4">
        <f>275/346.4</f>
        <v>0.7938799076212472</v>
      </c>
      <c r="G198" s="22">
        <v>187</v>
      </c>
      <c r="H198" s="22"/>
    </row>
    <row r="199" spans="1:8" ht="12.75">
      <c r="A199" t="s">
        <v>3</v>
      </c>
      <c r="B199" s="4">
        <f>275/339.2</f>
        <v>0.8107311320754718</v>
      </c>
      <c r="D199" t="s">
        <v>7</v>
      </c>
      <c r="E199" s="4">
        <f>39/346.4</f>
        <v>0.11258660508083142</v>
      </c>
      <c r="G199" t="s">
        <v>3</v>
      </c>
      <c r="H199" s="4">
        <f>275/312.9</f>
        <v>0.8788750399488655</v>
      </c>
    </row>
    <row r="200" spans="1:8" ht="12.75">
      <c r="A200" t="s">
        <v>1</v>
      </c>
      <c r="B200" s="4">
        <f>34/339.2</f>
        <v>0.10023584905660378</v>
      </c>
      <c r="D200" t="s">
        <v>1</v>
      </c>
      <c r="E200" s="4">
        <f>32/346.4</f>
        <v>0.09237875288683603</v>
      </c>
      <c r="G200" t="s">
        <v>7</v>
      </c>
      <c r="H200" s="4">
        <f>20.8/312.9</f>
        <v>0.06647491211249601</v>
      </c>
    </row>
    <row r="201" spans="1:8" ht="13.5" thickBot="1">
      <c r="A201" t="s">
        <v>7</v>
      </c>
      <c r="B201" s="4">
        <f>21/339.2</f>
        <v>0.061910377358490566</v>
      </c>
      <c r="D201" t="s">
        <v>10</v>
      </c>
      <c r="E201" s="3">
        <f>0.4/346.4</f>
        <v>0.0011547344110854505</v>
      </c>
      <c r="G201" t="s">
        <v>74</v>
      </c>
      <c r="H201" s="4">
        <f>11/312.9</f>
        <v>0.03515500159795462</v>
      </c>
    </row>
    <row r="202" spans="1:8" ht="13.5" thickBot="1">
      <c r="A202" t="s">
        <v>2</v>
      </c>
      <c r="B202" s="3">
        <f>9.2/339.2</f>
        <v>0.02712264150943396</v>
      </c>
      <c r="E202" s="1">
        <f>SUM(E198:E201)</f>
        <v>1</v>
      </c>
      <c r="G202" t="s">
        <v>1</v>
      </c>
      <c r="H202" s="4">
        <f>6/312.9</f>
        <v>0.019175455417066157</v>
      </c>
    </row>
    <row r="203" spans="2:8" ht="12" customHeight="1" thickBot="1">
      <c r="B203" s="1">
        <f>SUM(B199:B202)</f>
        <v>1</v>
      </c>
      <c r="G203" t="s">
        <v>6</v>
      </c>
      <c r="H203" s="3">
        <f>0.1/312.9</f>
        <v>0.0003195909236177693</v>
      </c>
    </row>
    <row r="204" spans="2:8" ht="12.75">
      <c r="B204" s="1"/>
      <c r="D204" s="22">
        <v>180</v>
      </c>
      <c r="E204" s="22"/>
      <c r="H204" s="1">
        <f>SUM(H199:H203)</f>
        <v>1</v>
      </c>
    </row>
    <row r="205" spans="1:5" ht="12.75">
      <c r="A205" s="22">
        <v>172</v>
      </c>
      <c r="B205" s="22"/>
      <c r="D205" t="s">
        <v>3</v>
      </c>
      <c r="E205" s="4">
        <f>275/345.8</f>
        <v>0.7952573742047426</v>
      </c>
    </row>
    <row r="206" spans="1:8" ht="12.75">
      <c r="A206" t="s">
        <v>3</v>
      </c>
      <c r="B206" s="4">
        <f>275/333</f>
        <v>0.8258258258258259</v>
      </c>
      <c r="D206" t="s">
        <v>7</v>
      </c>
      <c r="E206" s="4">
        <f>37/345.8</f>
        <v>0.10699826489300174</v>
      </c>
      <c r="G206" s="22">
        <v>188</v>
      </c>
      <c r="H206" s="22"/>
    </row>
    <row r="207" spans="1:8" ht="12" customHeight="1">
      <c r="A207" t="s">
        <v>7</v>
      </c>
      <c r="B207" s="4">
        <f>19/333</f>
        <v>0.057057057057057055</v>
      </c>
      <c r="D207" t="s">
        <v>1</v>
      </c>
      <c r="E207" s="4">
        <f>32/345.8</f>
        <v>0.09253903990746096</v>
      </c>
      <c r="G207" t="s">
        <v>3</v>
      </c>
      <c r="H207" s="4">
        <f>275/312</f>
        <v>0.8814102564102564</v>
      </c>
    </row>
    <row r="208" spans="1:8" ht="12" customHeight="1">
      <c r="A208" t="s">
        <v>1</v>
      </c>
      <c r="B208" s="4">
        <f>18/333</f>
        <v>0.05405405405405406</v>
      </c>
      <c r="D208" t="s">
        <v>74</v>
      </c>
      <c r="E208" s="4">
        <f>1.2/345.8</f>
        <v>0.003470213996529786</v>
      </c>
      <c r="G208" t="s">
        <v>7</v>
      </c>
      <c r="H208" s="4">
        <f>18/312</f>
        <v>0.057692307692307696</v>
      </c>
    </row>
    <row r="209" spans="1:8" ht="13.5" thickBot="1">
      <c r="A209" t="s">
        <v>2</v>
      </c>
      <c r="B209" s="4">
        <f>16/333</f>
        <v>0.04804804804804805</v>
      </c>
      <c r="D209" t="s">
        <v>6</v>
      </c>
      <c r="E209" s="3">
        <f>0.6/345.8</f>
        <v>0.001735106998264893</v>
      </c>
      <c r="G209" t="s">
        <v>74</v>
      </c>
      <c r="H209" s="4">
        <f>15/312</f>
        <v>0.04807692307692308</v>
      </c>
    </row>
    <row r="210" spans="1:8" ht="13.5" thickBot="1">
      <c r="A210" t="s">
        <v>15</v>
      </c>
      <c r="B210" s="3">
        <f>5/333</f>
        <v>0.015015015015015015</v>
      </c>
      <c r="E210" s="1">
        <f>SUM(E205:E209)</f>
        <v>0.9999999999999999</v>
      </c>
      <c r="G210" t="s">
        <v>1</v>
      </c>
      <c r="H210" s="4">
        <f>3/312</f>
        <v>0.009615384615384616</v>
      </c>
    </row>
    <row r="211" spans="2:8" ht="13.5" thickBot="1">
      <c r="B211" s="1">
        <f>SUM(B206:B210)</f>
        <v>1.0000000000000002</v>
      </c>
      <c r="G211" t="s">
        <v>6</v>
      </c>
      <c r="H211" s="3">
        <f>1/312</f>
        <v>0.003205128205128205</v>
      </c>
    </row>
    <row r="212" spans="2:8" ht="11.25" customHeight="1">
      <c r="B212" s="1"/>
      <c r="D212" s="22">
        <v>181</v>
      </c>
      <c r="E212" s="22"/>
      <c r="H212" s="1">
        <f>SUM(H207:H211)</f>
        <v>1</v>
      </c>
    </row>
    <row r="213" spans="1:5" ht="11.25" customHeight="1">
      <c r="A213" s="22">
        <v>173</v>
      </c>
      <c r="B213" s="22"/>
      <c r="D213" t="s">
        <v>3</v>
      </c>
      <c r="E213" s="4">
        <f>275/324.4</f>
        <v>0.8477188655980272</v>
      </c>
    </row>
    <row r="214" spans="1:8" ht="12" customHeight="1">
      <c r="A214" t="s">
        <v>3</v>
      </c>
      <c r="B214" s="4">
        <f>275/337.2</f>
        <v>0.8155397390272835</v>
      </c>
      <c r="D214" t="s">
        <v>7</v>
      </c>
      <c r="E214" s="4">
        <f>40/324.4</f>
        <v>0.12330456226880396</v>
      </c>
      <c r="G214" s="22">
        <v>189</v>
      </c>
      <c r="H214" s="22"/>
    </row>
    <row r="215" spans="1:8" ht="12" customHeight="1">
      <c r="A215" t="s">
        <v>7</v>
      </c>
      <c r="B215" s="4">
        <f>34/337.2</f>
        <v>0.10083036773428233</v>
      </c>
      <c r="D215" t="s">
        <v>74</v>
      </c>
      <c r="E215" s="4">
        <f>4/324.4</f>
        <v>0.012330456226880395</v>
      </c>
      <c r="G215" t="s">
        <v>3</v>
      </c>
      <c r="H215" s="4">
        <f>275/372.4</f>
        <v>0.7384532760472611</v>
      </c>
    </row>
    <row r="216" spans="1:8" ht="12.75" customHeight="1">
      <c r="A216" t="s">
        <v>2</v>
      </c>
      <c r="B216" s="4">
        <f>16/337.2</f>
        <v>0.04744958481613286</v>
      </c>
      <c r="D216" t="s">
        <v>1</v>
      </c>
      <c r="E216" s="4">
        <f>3/324.4</f>
        <v>0.009247842170160296</v>
      </c>
      <c r="G216" t="s">
        <v>1</v>
      </c>
      <c r="H216" s="4">
        <f>90/372.4</f>
        <v>0.24167561761546724</v>
      </c>
    </row>
    <row r="217" spans="1:8" ht="12" customHeight="1" thickBot="1">
      <c r="A217" t="s">
        <v>1</v>
      </c>
      <c r="B217" s="4">
        <f>12/337.2</f>
        <v>0.03558718861209965</v>
      </c>
      <c r="D217" t="s">
        <v>6</v>
      </c>
      <c r="E217" s="3">
        <f>2.4/324.4</f>
        <v>0.007398273736128237</v>
      </c>
      <c r="G217" t="s">
        <v>16</v>
      </c>
      <c r="H217" s="4">
        <f>6/372.4</f>
        <v>0.01611170784103115</v>
      </c>
    </row>
    <row r="218" spans="1:8" ht="12.75" customHeight="1" thickBot="1">
      <c r="A218" t="s">
        <v>6</v>
      </c>
      <c r="B218" s="3">
        <f>0.2/337.2</f>
        <v>0.0005931198102016608</v>
      </c>
      <c r="E218" s="1">
        <f>SUM(E213:E217)</f>
        <v>1.0000000000000002</v>
      </c>
      <c r="G218" t="s">
        <v>7</v>
      </c>
      <c r="H218" s="4">
        <f>0.8/372.4</f>
        <v>0.002148227712137487</v>
      </c>
    </row>
    <row r="219" spans="2:8" ht="13.5" thickBot="1">
      <c r="B219" s="1">
        <f>SUM(B214:B218)</f>
        <v>1</v>
      </c>
      <c r="G219" t="s">
        <v>74</v>
      </c>
      <c r="H219" s="3">
        <f>0.6/372.4</f>
        <v>0.001611170784103115</v>
      </c>
    </row>
    <row r="220" spans="2:8" ht="13.5" customHeight="1">
      <c r="B220" s="1"/>
      <c r="D220" s="22">
        <v>182</v>
      </c>
      <c r="E220" s="22"/>
      <c r="H220" s="1">
        <f>SUM(H215:H219)</f>
        <v>1.0000000000000002</v>
      </c>
    </row>
    <row r="221" spans="1:5" ht="12.75" customHeight="1">
      <c r="A221" s="22">
        <v>174</v>
      </c>
      <c r="B221" s="22"/>
      <c r="D221" t="s">
        <v>3</v>
      </c>
      <c r="E221" s="4">
        <f>275/365.6</f>
        <v>0.7521881838074398</v>
      </c>
    </row>
    <row r="222" spans="1:8" ht="12.75">
      <c r="A222" t="s">
        <v>3</v>
      </c>
      <c r="B222" s="4">
        <f>275/326.7</f>
        <v>0.8417508417508418</v>
      </c>
      <c r="D222" t="s">
        <v>1</v>
      </c>
      <c r="E222" s="4">
        <f>90/365.6</f>
        <v>0.24617067833698028</v>
      </c>
      <c r="G222" s="22">
        <v>190</v>
      </c>
      <c r="H222" s="22"/>
    </row>
    <row r="223" spans="1:8" ht="12" customHeight="1">
      <c r="A223" t="s">
        <v>2</v>
      </c>
      <c r="B223" s="4">
        <f>43/326.7</f>
        <v>0.13161922252831343</v>
      </c>
      <c r="D223" t="s">
        <v>7</v>
      </c>
      <c r="E223" s="4">
        <f>0.4/365.6</f>
        <v>0.0010940919037199124</v>
      </c>
      <c r="G223" t="s">
        <v>3</v>
      </c>
      <c r="H223" s="4">
        <f>275/378.8</f>
        <v>0.7259767687434002</v>
      </c>
    </row>
    <row r="224" spans="1:8" ht="12" customHeight="1" thickBot="1">
      <c r="A224" t="s">
        <v>74</v>
      </c>
      <c r="B224" s="4">
        <f>6.4/326.7</f>
        <v>0.019589837771655957</v>
      </c>
      <c r="D224" t="s">
        <v>74</v>
      </c>
      <c r="E224" s="3">
        <f>0.2/365.6</f>
        <v>0.0005470459518599562</v>
      </c>
      <c r="G224" t="s">
        <v>1</v>
      </c>
      <c r="H224" s="4">
        <f>72/378.8</f>
        <v>0.1900739176346357</v>
      </c>
    </row>
    <row r="225" spans="1:8" ht="12" customHeight="1">
      <c r="A225" t="s">
        <v>1</v>
      </c>
      <c r="B225" s="4">
        <f>2/326.7</f>
        <v>0.006121824303642486</v>
      </c>
      <c r="E225" s="1">
        <f>SUM(E221:E224)</f>
        <v>0.9999999999999999</v>
      </c>
      <c r="G225" t="s">
        <v>4</v>
      </c>
      <c r="H225" s="4">
        <f>26.6/378.8</f>
        <v>0.07022175290390707</v>
      </c>
    </row>
    <row r="226" spans="1:8" ht="13.5" thickBot="1">
      <c r="A226" t="s">
        <v>6</v>
      </c>
      <c r="B226" s="3">
        <f>0.3/326.7</f>
        <v>0.0009182736455463728</v>
      </c>
      <c r="G226" t="s">
        <v>7</v>
      </c>
      <c r="H226" s="4">
        <f>3.4/378.8</f>
        <v>0.00897571277719113</v>
      </c>
    </row>
    <row r="227" spans="2:8" ht="13.5" thickBot="1">
      <c r="B227" s="1">
        <f>SUM(B222:B226)</f>
        <v>1</v>
      </c>
      <c r="D227" s="22">
        <v>183</v>
      </c>
      <c r="E227" s="22"/>
      <c r="G227" t="s">
        <v>74</v>
      </c>
      <c r="H227" s="3">
        <f>1.8/378.8</f>
        <v>0.004751847940865892</v>
      </c>
    </row>
    <row r="228" spans="2:8" ht="12.75">
      <c r="B228" s="1"/>
      <c r="D228" t="s">
        <v>3</v>
      </c>
      <c r="E228" s="4">
        <f>275/372.9</f>
        <v>0.7374631268436579</v>
      </c>
      <c r="H228" s="1">
        <f>SUM(H223:H227)</f>
        <v>1</v>
      </c>
    </row>
    <row r="229" spans="1:5" ht="12.75">
      <c r="A229" s="22">
        <v>175</v>
      </c>
      <c r="B229" s="22"/>
      <c r="D229" t="s">
        <v>1</v>
      </c>
      <c r="E229" s="4">
        <f>84/372.9</f>
        <v>0.22526146419951731</v>
      </c>
    </row>
    <row r="230" spans="1:8" ht="12" customHeight="1">
      <c r="A230" t="s">
        <v>3</v>
      </c>
      <c r="B230" s="4">
        <f>275/324.4</f>
        <v>0.8477188655980272</v>
      </c>
      <c r="D230" t="s">
        <v>16</v>
      </c>
      <c r="E230" s="4">
        <f>11/372.9</f>
        <v>0.029498525073746316</v>
      </c>
      <c r="G230" s="22">
        <v>191</v>
      </c>
      <c r="H230" s="22"/>
    </row>
    <row r="231" spans="1:8" ht="12" customHeight="1">
      <c r="A231" t="s">
        <v>2</v>
      </c>
      <c r="B231" s="4">
        <f>36/324.4</f>
        <v>0.11097410604192356</v>
      </c>
      <c r="D231" t="s">
        <v>7</v>
      </c>
      <c r="E231" s="4">
        <f>2.2/372.9</f>
        <v>0.005899705014749263</v>
      </c>
      <c r="G231" t="s">
        <v>3</v>
      </c>
      <c r="H231" s="4">
        <f>275/360.4</f>
        <v>0.7630410654827969</v>
      </c>
    </row>
    <row r="232" spans="1:8" ht="13.5" thickBot="1">
      <c r="A232" t="s">
        <v>74</v>
      </c>
      <c r="B232" s="4">
        <f>9/324.4</f>
        <v>0.02774352651048089</v>
      </c>
      <c r="D232" t="s">
        <v>74</v>
      </c>
      <c r="E232" s="3">
        <f>0.7/372.9</f>
        <v>0.0018771788683293108</v>
      </c>
      <c r="G232" t="s">
        <v>15</v>
      </c>
      <c r="H232" s="4">
        <f>40/360.4</f>
        <v>0.11098779134295228</v>
      </c>
    </row>
    <row r="233" spans="1:8" ht="12.75">
      <c r="A233" t="s">
        <v>1</v>
      </c>
      <c r="B233" s="4">
        <f>3/324.4</f>
        <v>0.009247842170160296</v>
      </c>
      <c r="E233" s="1">
        <f>SUM(E228:E232)</f>
        <v>1</v>
      </c>
      <c r="G233" t="s">
        <v>1</v>
      </c>
      <c r="H233" s="4">
        <f>32/360.4</f>
        <v>0.08879023307436183</v>
      </c>
    </row>
    <row r="234" spans="1:8" ht="13.5" thickBot="1">
      <c r="A234" t="s">
        <v>6</v>
      </c>
      <c r="B234" s="3">
        <f>1.4/324.4</f>
        <v>0.004315659679408138</v>
      </c>
      <c r="G234" t="s">
        <v>11</v>
      </c>
      <c r="H234" s="4">
        <f>8.8/360.4</f>
        <v>0.024417314095449505</v>
      </c>
    </row>
    <row r="235" spans="2:8" ht="13.5" thickBot="1">
      <c r="B235" s="1">
        <f>SUM(B230:B234)</f>
        <v>1</v>
      </c>
      <c r="D235" s="22">
        <v>184</v>
      </c>
      <c r="E235" s="22"/>
      <c r="G235" t="s">
        <v>7</v>
      </c>
      <c r="H235" s="3">
        <f>4.6/360.4</f>
        <v>0.012763596004439512</v>
      </c>
    </row>
    <row r="236" spans="2:8" ht="12" customHeight="1">
      <c r="B236" s="1"/>
      <c r="D236" t="s">
        <v>3</v>
      </c>
      <c r="E236" s="4">
        <f>275/375.2</f>
        <v>0.7329424307036247</v>
      </c>
      <c r="H236" s="1">
        <f>SUM(H231:H235)</f>
        <v>1</v>
      </c>
    </row>
    <row r="237" spans="1:5" ht="12" customHeight="1">
      <c r="A237" s="22">
        <v>176</v>
      </c>
      <c r="B237" s="22"/>
      <c r="D237" t="s">
        <v>1</v>
      </c>
      <c r="E237" s="4">
        <f>54/375.2</f>
        <v>0.1439232409381663</v>
      </c>
    </row>
    <row r="238" spans="1:8" ht="12.75" customHeight="1">
      <c r="A238" t="s">
        <v>3</v>
      </c>
      <c r="B238" s="4">
        <f>275/367.9</f>
        <v>0.7474857298178853</v>
      </c>
      <c r="D238" t="s">
        <v>16</v>
      </c>
      <c r="E238" s="4">
        <f>37/375.2</f>
        <v>0.09861407249466951</v>
      </c>
      <c r="G238" s="22">
        <v>192</v>
      </c>
      <c r="H238" s="22"/>
    </row>
    <row r="239" spans="1:8" ht="12" customHeight="1">
      <c r="A239" t="s">
        <v>1</v>
      </c>
      <c r="B239" s="4">
        <f>90/367.9</f>
        <v>0.24463169339494428</v>
      </c>
      <c r="D239" t="s">
        <v>7</v>
      </c>
      <c r="E239" s="4">
        <f>7.4/375.2</f>
        <v>0.019722814498933903</v>
      </c>
      <c r="G239" t="s">
        <v>3</v>
      </c>
      <c r="H239" s="4">
        <f>275/322.6</f>
        <v>0.8524488530688158</v>
      </c>
    </row>
    <row r="240" spans="1:8" ht="12.75" customHeight="1" thickBot="1">
      <c r="A240" t="s">
        <v>15</v>
      </c>
      <c r="B240" s="4">
        <f>1.6/367.9</f>
        <v>0.004349007882576788</v>
      </c>
      <c r="D240" t="s">
        <v>74</v>
      </c>
      <c r="E240" s="3">
        <f>1.8/375.2</f>
        <v>0.004797441364605544</v>
      </c>
      <c r="G240" t="s">
        <v>16</v>
      </c>
      <c r="H240" s="4">
        <f>36/322.6</f>
        <v>0.11159330440173588</v>
      </c>
    </row>
    <row r="241" spans="1:8" ht="12" customHeight="1">
      <c r="A241" t="s">
        <v>7</v>
      </c>
      <c r="B241" s="4">
        <f>1.2/367.9</f>
        <v>0.0032617559119325905</v>
      </c>
      <c r="E241" s="1">
        <f>SUM(E236:E240)</f>
        <v>1</v>
      </c>
      <c r="G241" t="s">
        <v>1</v>
      </c>
      <c r="H241" s="4">
        <f>4/322.6</f>
        <v>0.01239925604463732</v>
      </c>
    </row>
    <row r="242" spans="1:8" ht="12.75" customHeight="1" thickBot="1">
      <c r="A242" t="s">
        <v>74</v>
      </c>
      <c r="B242" s="3">
        <f>0.1/367.9</f>
        <v>0.00027181299266104924</v>
      </c>
      <c r="G242" t="s">
        <v>7</v>
      </c>
      <c r="H242" s="4">
        <f>4/322.6</f>
        <v>0.01239925604463732</v>
      </c>
    </row>
    <row r="243" spans="2:8" ht="12" customHeight="1" thickBot="1">
      <c r="B243" s="1">
        <f>SUM(B238:B242)</f>
        <v>1</v>
      </c>
      <c r="D243" s="22">
        <v>185</v>
      </c>
      <c r="E243" s="22"/>
      <c r="G243" t="s">
        <v>74</v>
      </c>
      <c r="H243" s="3">
        <f>3.6/322.6</f>
        <v>0.011159330440173589</v>
      </c>
    </row>
    <row r="244" spans="4:8" ht="12.75" customHeight="1">
      <c r="D244" t="s">
        <v>3</v>
      </c>
      <c r="E244" s="4">
        <f>275/330.6</f>
        <v>0.8318209316394434</v>
      </c>
      <c r="H244" s="1">
        <f>SUM(H239:H243)</f>
        <v>0.9999999999999999</v>
      </c>
    </row>
    <row r="245" spans="1:5" ht="13.5" customHeight="1">
      <c r="A245" s="22">
        <v>177</v>
      </c>
      <c r="B245" s="22"/>
      <c r="D245" t="s">
        <v>16</v>
      </c>
      <c r="E245" s="4">
        <f>40/330.6</f>
        <v>0.12099213551119177</v>
      </c>
    </row>
    <row r="246" spans="1:8" ht="12" customHeight="1">
      <c r="A246" t="s">
        <v>3</v>
      </c>
      <c r="B246" s="4">
        <f>275/358.8</f>
        <v>0.7664437012263099</v>
      </c>
      <c r="D246" t="s">
        <v>7</v>
      </c>
      <c r="E246" s="4">
        <f>9/330.6</f>
        <v>0.02722323049001815</v>
      </c>
      <c r="G246" s="22">
        <v>193</v>
      </c>
      <c r="H246" s="22"/>
    </row>
    <row r="247" spans="1:8" ht="12" customHeight="1">
      <c r="A247" t="s">
        <v>1</v>
      </c>
      <c r="B247" s="4">
        <f>72/358.8</f>
        <v>0.20066889632107024</v>
      </c>
      <c r="D247" t="s">
        <v>1</v>
      </c>
      <c r="E247" s="4">
        <f>4/330.6</f>
        <v>0.012099213551119176</v>
      </c>
      <c r="G247" t="s">
        <v>3</v>
      </c>
      <c r="H247" s="4">
        <f>275/327</f>
        <v>0.8409785932721713</v>
      </c>
    </row>
    <row r="248" spans="1:8" ht="13.5" thickBot="1">
      <c r="A248" t="s">
        <v>15</v>
      </c>
      <c r="B248" s="4">
        <f>7/358.8</f>
        <v>0.01950947603121516</v>
      </c>
      <c r="D248" t="s">
        <v>74</v>
      </c>
      <c r="E248" s="3">
        <f>2.6/330.6</f>
        <v>0.007864488808227465</v>
      </c>
      <c r="G248" t="s">
        <v>15</v>
      </c>
      <c r="H248" s="4">
        <f>34/327</f>
        <v>0.10397553516819572</v>
      </c>
    </row>
    <row r="249" spans="1:8" ht="12" customHeight="1">
      <c r="A249" t="s">
        <v>7</v>
      </c>
      <c r="B249" s="4">
        <f>4.6/358.8</f>
        <v>0.012820512820512818</v>
      </c>
      <c r="E249" s="1">
        <f>SUM(E244:E248)</f>
        <v>1</v>
      </c>
      <c r="G249" t="s">
        <v>7</v>
      </c>
      <c r="H249" s="4">
        <f>9/327</f>
        <v>0.027522935779816515</v>
      </c>
    </row>
    <row r="250" spans="1:8" ht="12" customHeight="1" thickBot="1">
      <c r="A250" t="s">
        <v>74</v>
      </c>
      <c r="B250" s="3">
        <f>0.2/358.8</f>
        <v>0.0005574136008918618</v>
      </c>
      <c r="G250" t="s">
        <v>74</v>
      </c>
      <c r="H250" s="4">
        <f>5/327</f>
        <v>0.01529051987767584</v>
      </c>
    </row>
    <row r="251" spans="2:8" ht="12" customHeight="1" thickBot="1">
      <c r="B251" s="4">
        <f>SUM(B246:B250)</f>
        <v>0.9999999999999999</v>
      </c>
      <c r="G251" t="s">
        <v>1</v>
      </c>
      <c r="H251" s="3">
        <f>4/327</f>
        <v>0.012232415902140673</v>
      </c>
    </row>
    <row r="252" ht="12.75">
      <c r="H252" s="1">
        <f>SUM(H247:H251)</f>
        <v>0.9999999999999999</v>
      </c>
    </row>
    <row r="253" spans="1:8" ht="12.75">
      <c r="A253" s="22">
        <v>194</v>
      </c>
      <c r="B253" s="22"/>
      <c r="D253" s="22">
        <v>202</v>
      </c>
      <c r="E253" s="22"/>
      <c r="G253" s="22">
        <v>210</v>
      </c>
      <c r="H253" s="22"/>
    </row>
    <row r="254" spans="1:8" ht="12.75">
      <c r="A254" t="s">
        <v>3</v>
      </c>
      <c r="B254" s="4">
        <f>275/325.8</f>
        <v>0.8440761203192142</v>
      </c>
      <c r="D254" t="s">
        <v>3</v>
      </c>
      <c r="E254" s="4">
        <f>275/315.6</f>
        <v>0.8713561470215462</v>
      </c>
      <c r="G254" t="s">
        <v>3</v>
      </c>
      <c r="H254" s="4">
        <f>275/370</f>
        <v>0.7432432432432432</v>
      </c>
    </row>
    <row r="255" spans="1:8" ht="12.75">
      <c r="A255" t="s">
        <v>11</v>
      </c>
      <c r="B255" s="4">
        <f>32.6/325.8</f>
        <v>0.10006138735420503</v>
      </c>
      <c r="D255" t="s">
        <v>74</v>
      </c>
      <c r="E255" s="4">
        <f>27.6/315.6</f>
        <v>0.08745247148288973</v>
      </c>
      <c r="G255" t="s">
        <v>1</v>
      </c>
      <c r="H255" s="4">
        <f>90/370</f>
        <v>0.24324324324324326</v>
      </c>
    </row>
    <row r="256" spans="1:8" ht="12.75">
      <c r="A256" t="s">
        <v>7</v>
      </c>
      <c r="B256" s="4">
        <f>14/325.8</f>
        <v>0.042971147943523635</v>
      </c>
      <c r="D256" t="s">
        <v>7</v>
      </c>
      <c r="E256" s="4">
        <f>8.2/315.6</f>
        <v>0.02598225602027883</v>
      </c>
      <c r="G256" t="s">
        <v>16</v>
      </c>
      <c r="H256" s="4">
        <f>4/370</f>
        <v>0.010810810810810811</v>
      </c>
    </row>
    <row r="257" spans="1:8" ht="12.75">
      <c r="A257" t="s">
        <v>1</v>
      </c>
      <c r="B257" s="4">
        <f>4/325.8</f>
        <v>0.012277470841006752</v>
      </c>
      <c r="D257" t="s">
        <v>1</v>
      </c>
      <c r="E257" s="4">
        <f>4.6/315.6</f>
        <v>0.014575411913814954</v>
      </c>
      <c r="G257" t="s">
        <v>74</v>
      </c>
      <c r="H257" s="4">
        <f>0.8/370</f>
        <v>0.002162162162162162</v>
      </c>
    </row>
    <row r="258" spans="1:8" ht="13.5" thickBot="1">
      <c r="A258" t="s">
        <v>6</v>
      </c>
      <c r="B258" s="3">
        <f>0.2/325.8</f>
        <v>0.0006138735420503377</v>
      </c>
      <c r="D258" t="s">
        <v>6</v>
      </c>
      <c r="E258" s="3">
        <f>0.2/315.6</f>
        <v>0.0006337135614702154</v>
      </c>
      <c r="G258" t="s">
        <v>7</v>
      </c>
      <c r="H258" s="3">
        <f>0.2/370</f>
        <v>0.0005405405405405405</v>
      </c>
    </row>
    <row r="259" spans="2:8" ht="12.75">
      <c r="B259" s="1">
        <f>SUM(B254:B258)</f>
        <v>0.9999999999999999</v>
      </c>
      <c r="E259" s="1">
        <f>SUM(E254:E258)</f>
        <v>0.9999999999999999</v>
      </c>
      <c r="H259" s="1">
        <f>SUM(H254:H258)</f>
        <v>0.9999999999999999</v>
      </c>
    </row>
    <row r="260" ht="12.75">
      <c r="B260" s="1"/>
    </row>
    <row r="261" spans="1:8" ht="12.75">
      <c r="A261" s="22">
        <v>195</v>
      </c>
      <c r="B261" s="22"/>
      <c r="D261" s="22">
        <v>203</v>
      </c>
      <c r="E261" s="22"/>
      <c r="G261" s="22">
        <v>211</v>
      </c>
      <c r="H261" s="22"/>
    </row>
    <row r="262" spans="1:8" ht="12.75">
      <c r="A262" t="s">
        <v>3</v>
      </c>
      <c r="B262" s="4">
        <f>275/325.2</f>
        <v>0.8456334563345633</v>
      </c>
      <c r="D262" t="s">
        <v>3</v>
      </c>
      <c r="E262" s="4">
        <f>275/367</f>
        <v>0.7493188010899182</v>
      </c>
      <c r="G262" t="s">
        <v>3</v>
      </c>
      <c r="H262" s="4">
        <f>275/349.2</f>
        <v>0.7875143184421535</v>
      </c>
    </row>
    <row r="263" spans="1:8" ht="12.75">
      <c r="A263" t="s">
        <v>11</v>
      </c>
      <c r="B263" s="4">
        <f>32/325.2</f>
        <v>0.0984009840098401</v>
      </c>
      <c r="D263" t="s">
        <v>1</v>
      </c>
      <c r="E263" s="4">
        <f>90/367</f>
        <v>0.2452316076294278</v>
      </c>
      <c r="G263" t="s">
        <v>1</v>
      </c>
      <c r="H263" s="4">
        <f>60/349.2</f>
        <v>0.1718213058419244</v>
      </c>
    </row>
    <row r="264" spans="1:8" ht="12.75">
      <c r="A264" t="s">
        <v>7</v>
      </c>
      <c r="B264" s="4">
        <f>13/325.2</f>
        <v>0.03997539975399754</v>
      </c>
      <c r="D264" t="s">
        <v>11</v>
      </c>
      <c r="E264" s="4">
        <f>1.6/367</f>
        <v>0.004359673024523161</v>
      </c>
      <c r="G264" t="s">
        <v>4</v>
      </c>
      <c r="H264" s="4">
        <f>13/349.2</f>
        <v>0.03722794959908362</v>
      </c>
    </row>
    <row r="265" spans="1:8" ht="13.5" thickBot="1">
      <c r="A265" t="s">
        <v>1</v>
      </c>
      <c r="B265" s="4">
        <f>4/325.2</f>
        <v>0.012300123001230012</v>
      </c>
      <c r="D265" t="s">
        <v>7</v>
      </c>
      <c r="E265" s="3">
        <f>0.4/367</f>
        <v>0.0010899182561307902</v>
      </c>
      <c r="G265" t="s">
        <v>74</v>
      </c>
      <c r="H265" s="4">
        <f>1/349.2</f>
        <v>0.00286368843069874</v>
      </c>
    </row>
    <row r="266" spans="1:8" ht="13.5" thickBot="1">
      <c r="A266" t="s">
        <v>6</v>
      </c>
      <c r="B266" s="3">
        <f>1.2/325.2</f>
        <v>0.0036900369003690036</v>
      </c>
      <c r="E266" s="1">
        <f>SUM(E262:E265)</f>
        <v>0.9999999999999999</v>
      </c>
      <c r="G266" t="s">
        <v>7</v>
      </c>
      <c r="H266" s="3">
        <f>0.2/349.2</f>
        <v>0.000572737686139748</v>
      </c>
    </row>
    <row r="267" spans="2:8" ht="12.75">
      <c r="B267" s="1">
        <f>SUM(B262:B266)</f>
        <v>1</v>
      </c>
      <c r="H267" s="1">
        <f>SUM(H262:H266)</f>
        <v>0.9999999999999999</v>
      </c>
    </row>
    <row r="268" spans="1:5" ht="12.75">
      <c r="A268" s="22"/>
      <c r="B268" s="22"/>
      <c r="D268" s="22">
        <v>204</v>
      </c>
      <c r="E268" s="22"/>
    </row>
    <row r="269" spans="1:8" ht="12.75">
      <c r="A269" s="22">
        <v>196</v>
      </c>
      <c r="B269" s="22"/>
      <c r="D269" t="s">
        <v>3</v>
      </c>
      <c r="E269" s="4">
        <f>275/368.6</f>
        <v>0.7460661964188822</v>
      </c>
      <c r="G269" s="22">
        <v>212</v>
      </c>
      <c r="H269" s="22"/>
    </row>
    <row r="270" spans="1:8" ht="12.75">
      <c r="A270" t="s">
        <v>3</v>
      </c>
      <c r="B270" s="4">
        <f>275/362.1</f>
        <v>0.7594587130626899</v>
      </c>
      <c r="D270" t="s">
        <v>1</v>
      </c>
      <c r="E270" s="4">
        <f>76/368.6</f>
        <v>0.20618556701030927</v>
      </c>
      <c r="G270" t="s">
        <v>3</v>
      </c>
      <c r="H270" s="4">
        <f>275/362.8</f>
        <v>0.7579933847850054</v>
      </c>
    </row>
    <row r="271" spans="1:8" ht="12.75">
      <c r="A271" t="s">
        <v>1</v>
      </c>
      <c r="B271" s="4">
        <f>86/362.1</f>
        <v>0.23750345208505935</v>
      </c>
      <c r="D271" t="s">
        <v>16</v>
      </c>
      <c r="E271" s="4">
        <f>13/368.6</f>
        <v>0.0352685838307108</v>
      </c>
      <c r="G271" t="s">
        <v>1</v>
      </c>
      <c r="H271" s="4">
        <f>52/362.8</f>
        <v>0.14332965821389196</v>
      </c>
    </row>
    <row r="272" spans="1:8" ht="12.75">
      <c r="A272" t="s">
        <v>75</v>
      </c>
      <c r="B272" s="4">
        <f>0.5/362.1</f>
        <v>0.001380834023750345</v>
      </c>
      <c r="D272" t="s">
        <v>74</v>
      </c>
      <c r="E272" s="4">
        <f>4/368.6</f>
        <v>0.010851871947911014</v>
      </c>
      <c r="G272" t="s">
        <v>16</v>
      </c>
      <c r="H272" s="4">
        <f>32/362.8</f>
        <v>0.08820286659316427</v>
      </c>
    </row>
    <row r="273" spans="1:8" ht="13.5" thickBot="1">
      <c r="A273" t="s">
        <v>7</v>
      </c>
      <c r="B273" s="4">
        <f>0.3/362.1</f>
        <v>0.0008285004142502071</v>
      </c>
      <c r="D273" t="s">
        <v>7</v>
      </c>
      <c r="E273" s="3">
        <f>0.6/368.6</f>
        <v>0.0016277807921866521</v>
      </c>
      <c r="G273" t="s">
        <v>74</v>
      </c>
      <c r="H273" s="4">
        <f>3.2/362.8</f>
        <v>0.008820286659316428</v>
      </c>
    </row>
    <row r="274" spans="1:8" ht="13.5" thickBot="1">
      <c r="A274" t="s">
        <v>11</v>
      </c>
      <c r="B274" s="3">
        <f>0.3/362.1</f>
        <v>0.0008285004142502071</v>
      </c>
      <c r="E274" s="1">
        <f>SUM(E269:E273)</f>
        <v>0.9999999999999998</v>
      </c>
      <c r="G274" t="s">
        <v>7</v>
      </c>
      <c r="H274" s="3">
        <f>0.6/362.8</f>
        <v>0.00165380374862183</v>
      </c>
    </row>
    <row r="275" spans="2:8" ht="12.75">
      <c r="B275" s="1">
        <f>SUM(B270:B274)</f>
        <v>0.9999999999999999</v>
      </c>
      <c r="H275" s="1">
        <f>SUM(H270:H274)</f>
        <v>0.9999999999999999</v>
      </c>
    </row>
    <row r="276" spans="2:5" ht="12.75">
      <c r="B276" s="1"/>
      <c r="D276" s="22">
        <v>205</v>
      </c>
      <c r="E276" s="22"/>
    </row>
    <row r="277" spans="1:8" ht="12.75">
      <c r="A277" s="22">
        <v>197</v>
      </c>
      <c r="B277" s="22"/>
      <c r="D277" t="s">
        <v>3</v>
      </c>
      <c r="E277" s="4">
        <f>275/359.8</f>
        <v>0.7643135075041689</v>
      </c>
      <c r="G277" s="22">
        <v>213</v>
      </c>
      <c r="H277" s="22"/>
    </row>
    <row r="278" spans="1:8" ht="12.75">
      <c r="A278" t="s">
        <v>3</v>
      </c>
      <c r="B278" s="4">
        <f>275/361.2</f>
        <v>0.7613510520487264</v>
      </c>
      <c r="D278" t="s">
        <v>1</v>
      </c>
      <c r="E278" s="4">
        <f>44/359.8</f>
        <v>0.12229016120066703</v>
      </c>
      <c r="G278" t="s">
        <v>3</v>
      </c>
      <c r="H278" s="4">
        <f>275/320.4</f>
        <v>0.8583021223470663</v>
      </c>
    </row>
    <row r="279" spans="1:8" ht="12.75">
      <c r="A279" t="s">
        <v>1</v>
      </c>
      <c r="B279" s="4">
        <f>84/361.2</f>
        <v>0.23255813953488372</v>
      </c>
      <c r="D279" t="s">
        <v>4</v>
      </c>
      <c r="E279" s="4">
        <f>33/359.8</f>
        <v>0.09171762090050027</v>
      </c>
      <c r="G279" t="s">
        <v>16</v>
      </c>
      <c r="H279" s="4">
        <f>34/320.4</f>
        <v>0.10611735330836455</v>
      </c>
    </row>
    <row r="280" spans="1:8" ht="12.75">
      <c r="A280" t="s">
        <v>14</v>
      </c>
      <c r="B280" s="4">
        <f>1.2/361.2</f>
        <v>0.0033222591362126247</v>
      </c>
      <c r="D280" t="s">
        <v>74</v>
      </c>
      <c r="E280" s="4">
        <f>6.6/359.8</f>
        <v>0.018343524180100053</v>
      </c>
      <c r="G280" t="s">
        <v>1</v>
      </c>
      <c r="H280" s="4">
        <f>6/320.4</f>
        <v>0.018726591760299626</v>
      </c>
    </row>
    <row r="281" spans="1:8" ht="13.5" thickBot="1">
      <c r="A281" t="s">
        <v>7</v>
      </c>
      <c r="B281" s="3">
        <f>1/361.2</f>
        <v>0.0027685492801771874</v>
      </c>
      <c r="D281" t="s">
        <v>7</v>
      </c>
      <c r="E281" s="3">
        <f>1.2/359.8</f>
        <v>0.0033351862145636463</v>
      </c>
      <c r="G281" t="s">
        <v>11</v>
      </c>
      <c r="H281" s="4">
        <f>5/320.4</f>
        <v>0.015605493133583023</v>
      </c>
    </row>
    <row r="282" spans="2:8" ht="13.5" thickBot="1">
      <c r="B282" s="1">
        <f>SUM(B278:B281)</f>
        <v>1</v>
      </c>
      <c r="E282" s="1">
        <f>SUM(E277:E281)</f>
        <v>1</v>
      </c>
      <c r="G282" t="s">
        <v>7</v>
      </c>
      <c r="H282" s="3">
        <f>0.4/320.4</f>
        <v>0.001248439450686642</v>
      </c>
    </row>
    <row r="283" spans="2:8" ht="12.75">
      <c r="B283" s="1"/>
      <c r="H283" s="1">
        <f>SUM(H278:H282)</f>
        <v>1.0000000000000002</v>
      </c>
    </row>
    <row r="284" spans="1:5" ht="12.75">
      <c r="A284" s="22">
        <v>198</v>
      </c>
      <c r="B284" s="22"/>
      <c r="D284" s="22">
        <v>206</v>
      </c>
      <c r="E284" s="22"/>
    </row>
    <row r="285" spans="1:8" ht="12.75">
      <c r="A285" t="s">
        <v>3</v>
      </c>
      <c r="B285" s="4">
        <f>275/361.6</f>
        <v>0.7605088495575221</v>
      </c>
      <c r="D285" t="s">
        <v>3</v>
      </c>
      <c r="E285" s="4">
        <f>275/323</f>
        <v>0.8513931888544891</v>
      </c>
      <c r="G285" s="22">
        <v>214</v>
      </c>
      <c r="H285" s="22"/>
    </row>
    <row r="286" spans="1:8" ht="12.75">
      <c r="A286" t="s">
        <v>1</v>
      </c>
      <c r="B286" s="4">
        <f>54/361.6</f>
        <v>0.1493362831858407</v>
      </c>
      <c r="D286" t="s">
        <v>16</v>
      </c>
      <c r="E286" s="4">
        <f>38/323</f>
        <v>0.11764705882352941</v>
      </c>
      <c r="G286" t="s">
        <v>3</v>
      </c>
      <c r="H286" s="4">
        <f>275/331.4</f>
        <v>0.8298129149064575</v>
      </c>
    </row>
    <row r="287" spans="1:8" ht="12.75">
      <c r="A287" t="s">
        <v>16</v>
      </c>
      <c r="B287" s="4">
        <f>23/361.6</f>
        <v>0.06360619469026549</v>
      </c>
      <c r="D287" t="s">
        <v>74</v>
      </c>
      <c r="E287" s="4">
        <f>6/323</f>
        <v>0.018575851393188854</v>
      </c>
      <c r="G287" t="s">
        <v>16</v>
      </c>
      <c r="H287" s="4">
        <f>39.4/331.4</f>
        <v>0.11888955944477973</v>
      </c>
    </row>
    <row r="288" spans="1:8" ht="13.5" thickBot="1">
      <c r="A288" t="s">
        <v>74</v>
      </c>
      <c r="B288" s="4">
        <f>5/361.6</f>
        <v>0.013827433628318583</v>
      </c>
      <c r="D288" t="s">
        <v>1</v>
      </c>
      <c r="E288" s="3">
        <f>4/323</f>
        <v>0.01238390092879257</v>
      </c>
      <c r="G288" t="s">
        <v>11</v>
      </c>
      <c r="H288" s="4">
        <f>12/331.4</f>
        <v>0.036210018105009054</v>
      </c>
    </row>
    <row r="289" spans="1:8" ht="13.5" thickBot="1">
      <c r="A289" t="s">
        <v>7</v>
      </c>
      <c r="B289" s="3">
        <f>4.6/361.6</f>
        <v>0.012721238938053096</v>
      </c>
      <c r="E289" s="1">
        <f>SUM(E285:E288)</f>
        <v>1</v>
      </c>
      <c r="G289" t="s">
        <v>1</v>
      </c>
      <c r="H289" s="4">
        <f>4/331.4</f>
        <v>0.012070006035003019</v>
      </c>
    </row>
    <row r="290" spans="2:8" ht="13.5" thickBot="1">
      <c r="B290" s="1">
        <f>SUM(B285:B289)</f>
        <v>1</v>
      </c>
      <c r="G290" t="s">
        <v>7</v>
      </c>
      <c r="H290" s="3">
        <f>1/331.4</f>
        <v>0.0030175015087507548</v>
      </c>
    </row>
    <row r="291" spans="2:8" ht="12.75">
      <c r="B291" s="1"/>
      <c r="D291" s="22">
        <v>207</v>
      </c>
      <c r="E291" s="22"/>
      <c r="H291" s="1">
        <f>SUM(H286:H290)</f>
        <v>1</v>
      </c>
    </row>
    <row r="292" spans="1:5" ht="12.75">
      <c r="A292" s="22">
        <v>199</v>
      </c>
      <c r="B292" s="22"/>
      <c r="D292" t="s">
        <v>3</v>
      </c>
      <c r="E292" s="4">
        <f>275/343</f>
        <v>0.8017492711370262</v>
      </c>
    </row>
    <row r="293" spans="1:8" ht="12.75">
      <c r="A293" t="s">
        <v>3</v>
      </c>
      <c r="B293" s="4">
        <f>275/331.6</f>
        <v>0.8293124246079614</v>
      </c>
      <c r="D293" t="s">
        <v>15</v>
      </c>
      <c r="E293" s="4">
        <f>40/343</f>
        <v>0.11661807580174927</v>
      </c>
      <c r="G293" s="22">
        <v>215</v>
      </c>
      <c r="H293" s="22"/>
    </row>
    <row r="294" spans="1:8" ht="12.75">
      <c r="A294" t="s">
        <v>15</v>
      </c>
      <c r="B294" s="4">
        <f>40/331.6</f>
        <v>0.12062726176115801</v>
      </c>
      <c r="D294" t="s">
        <v>11</v>
      </c>
      <c r="E294" s="4">
        <f>24/343</f>
        <v>0.06997084548104957</v>
      </c>
      <c r="G294" t="s">
        <v>3</v>
      </c>
      <c r="H294" s="4">
        <f>275/308</f>
        <v>0.8928571428571429</v>
      </c>
    </row>
    <row r="295" spans="1:8" ht="13.5" thickBot="1">
      <c r="A295" t="s">
        <v>11</v>
      </c>
      <c r="B295" s="4">
        <f>11.4/331.6</f>
        <v>0.03437876960193004</v>
      </c>
      <c r="D295" t="s">
        <v>1</v>
      </c>
      <c r="E295" s="3">
        <f>4/343</f>
        <v>0.011661807580174927</v>
      </c>
      <c r="G295" t="s">
        <v>74</v>
      </c>
      <c r="H295" s="4">
        <f>21/308</f>
        <v>0.06818181818181818</v>
      </c>
    </row>
    <row r="296" spans="1:8" ht="13.5" thickBot="1">
      <c r="A296" t="s">
        <v>1</v>
      </c>
      <c r="B296" s="4">
        <f>3/331.6</f>
        <v>0.00904704463208685</v>
      </c>
      <c r="E296" s="1">
        <f>SUM(E292:E295)</f>
        <v>0.9999999999999999</v>
      </c>
      <c r="G296" t="s">
        <v>1</v>
      </c>
      <c r="H296" s="3">
        <f>12/308</f>
        <v>0.03896103896103896</v>
      </c>
    </row>
    <row r="297" spans="1:8" ht="13.5" thickBot="1">
      <c r="A297" t="s">
        <v>7</v>
      </c>
      <c r="B297" s="3">
        <f>2.2/331.6</f>
        <v>0.0066344993968636915</v>
      </c>
      <c r="H297" s="1">
        <f>SUM(H294:H296)</f>
        <v>1</v>
      </c>
    </row>
    <row r="298" spans="2:5" ht="12.75">
      <c r="B298" s="1">
        <f>SUM(B293:B297)</f>
        <v>0.9999999999999999</v>
      </c>
      <c r="D298" s="22">
        <v>208</v>
      </c>
      <c r="E298" s="22"/>
    </row>
    <row r="299" spans="2:8" ht="12.75">
      <c r="B299" s="1"/>
      <c r="D299" t="s">
        <v>3</v>
      </c>
      <c r="E299" s="4">
        <f>275/323.2</f>
        <v>0.8508663366336634</v>
      </c>
      <c r="G299" s="22">
        <v>216</v>
      </c>
      <c r="H299" s="22"/>
    </row>
    <row r="300" spans="1:8" ht="12.75">
      <c r="A300" s="22">
        <v>200</v>
      </c>
      <c r="B300" s="22"/>
      <c r="D300" t="s">
        <v>11</v>
      </c>
      <c r="E300" s="4">
        <f>41.4/323.2</f>
        <v>0.1280940594059406</v>
      </c>
      <c r="G300" t="s">
        <v>3</v>
      </c>
      <c r="H300" s="4">
        <f>275/325.4</f>
        <v>0.8451137062077444</v>
      </c>
    </row>
    <row r="301" spans="1:8" ht="12.75">
      <c r="A301" t="s">
        <v>3</v>
      </c>
      <c r="B301" s="4">
        <f>275/297.6</f>
        <v>0.9240591397849461</v>
      </c>
      <c r="D301" t="s">
        <v>1</v>
      </c>
      <c r="E301" s="4">
        <f>4/323.2</f>
        <v>0.012376237623762377</v>
      </c>
      <c r="G301" t="s">
        <v>11</v>
      </c>
      <c r="H301" s="4">
        <f>44/325.4</f>
        <v>0.1352181929932391</v>
      </c>
    </row>
    <row r="302" spans="1:8" ht="13.5" thickBot="1">
      <c r="A302" t="s">
        <v>74</v>
      </c>
      <c r="B302" s="4">
        <f>10/297.6</f>
        <v>0.033602150537634407</v>
      </c>
      <c r="D302" t="s">
        <v>7</v>
      </c>
      <c r="E302" s="3">
        <f>2.8/323.2</f>
        <v>0.008663366336633662</v>
      </c>
      <c r="G302" t="s">
        <v>1</v>
      </c>
      <c r="H302" s="4">
        <f>4/325.4</f>
        <v>0.012292562999385373</v>
      </c>
    </row>
    <row r="303" spans="1:8" ht="12.75">
      <c r="A303" t="s">
        <v>7</v>
      </c>
      <c r="B303" s="4">
        <f>6.6/297.6</f>
        <v>0.022177419354838707</v>
      </c>
      <c r="E303" s="1">
        <f>SUM(E299:E302)</f>
        <v>1</v>
      </c>
      <c r="G303" t="s">
        <v>7</v>
      </c>
      <c r="H303" s="4">
        <f>2/325.4</f>
        <v>0.0061462814996926865</v>
      </c>
    </row>
    <row r="304" spans="1:8" ht="13.5" thickBot="1">
      <c r="A304" t="s">
        <v>1</v>
      </c>
      <c r="B304" s="3">
        <f>6/297.6</f>
        <v>0.020161290322580645</v>
      </c>
      <c r="G304" t="s">
        <v>6</v>
      </c>
      <c r="H304" s="3">
        <f>0.4/325.4</f>
        <v>0.0012292562999385373</v>
      </c>
    </row>
    <row r="305" spans="2:8" ht="12.75">
      <c r="B305" s="1">
        <f>SUM(B301:B304)</f>
        <v>0.9999999999999999</v>
      </c>
      <c r="D305" s="22">
        <v>209</v>
      </c>
      <c r="E305" s="22"/>
      <c r="H305" s="1">
        <f>SUM(H300:H304)</f>
        <v>1.0000000000000002</v>
      </c>
    </row>
    <row r="306" spans="2:5" ht="12.75">
      <c r="B306" s="1"/>
      <c r="D306" t="s">
        <v>3</v>
      </c>
      <c r="E306" s="4">
        <f>275/313.4</f>
        <v>0.8774728781110402</v>
      </c>
    </row>
    <row r="307" spans="1:8" ht="12.75">
      <c r="A307" s="22">
        <v>201</v>
      </c>
      <c r="B307" s="22"/>
      <c r="D307" t="s">
        <v>11</v>
      </c>
      <c r="E307" s="4">
        <f>30/313.4</f>
        <v>0.09572431397574985</v>
      </c>
      <c r="G307" s="22">
        <v>217</v>
      </c>
      <c r="H307" s="22"/>
    </row>
    <row r="308" spans="1:8" ht="12.75">
      <c r="A308" t="s">
        <v>3</v>
      </c>
      <c r="B308" s="4">
        <f>275/308.6</f>
        <v>0.8911211924821775</v>
      </c>
      <c r="D308" t="s">
        <v>7</v>
      </c>
      <c r="E308" s="4">
        <f>4/313.4</f>
        <v>0.012763241863433313</v>
      </c>
      <c r="G308" t="s">
        <v>3</v>
      </c>
      <c r="H308" s="4">
        <f>275/309.6</f>
        <v>0.8882428940568475</v>
      </c>
    </row>
    <row r="309" spans="1:8" ht="12.75">
      <c r="A309" t="s">
        <v>74</v>
      </c>
      <c r="B309" s="4">
        <f>19.8/308.6</f>
        <v>0.06416072585871678</v>
      </c>
      <c r="D309" t="s">
        <v>1</v>
      </c>
      <c r="E309" s="4">
        <f>4/313.4</f>
        <v>0.012763241863433313</v>
      </c>
      <c r="G309" t="s">
        <v>1</v>
      </c>
      <c r="H309" s="4">
        <f>32/309.6</f>
        <v>0.10335917312661498</v>
      </c>
    </row>
    <row r="310" spans="1:8" ht="13.5" thickBot="1">
      <c r="A310" t="s">
        <v>1</v>
      </c>
      <c r="B310" s="4">
        <f>7/308.6</f>
        <v>0.022683084899546336</v>
      </c>
      <c r="D310" t="s">
        <v>6</v>
      </c>
      <c r="E310" s="3">
        <f>0.4/313.4</f>
        <v>0.0012763241863433313</v>
      </c>
      <c r="G310" t="s">
        <v>16</v>
      </c>
      <c r="H310" s="4">
        <f>2/309.6</f>
        <v>0.006459948320413436</v>
      </c>
    </row>
    <row r="311" spans="1:8" ht="13.5" thickBot="1">
      <c r="A311" t="s">
        <v>7</v>
      </c>
      <c r="B311" s="3">
        <f>6.8/308.6</f>
        <v>0.0220349967595593</v>
      </c>
      <c r="E311" s="1">
        <f>SUM(E306:E310)</f>
        <v>1.0000000000000002</v>
      </c>
      <c r="G311" t="s">
        <v>5</v>
      </c>
      <c r="H311" s="4">
        <f>0.4/309.6</f>
        <v>0.0012919896640826874</v>
      </c>
    </row>
    <row r="312" spans="2:8" ht="13.5" thickBot="1">
      <c r="B312" s="1">
        <f>SUM(B308:B311)</f>
        <v>0.9999999999999999</v>
      </c>
      <c r="G312" t="s">
        <v>18</v>
      </c>
      <c r="H312" s="3">
        <f>0.2/309.6</f>
        <v>0.0006459948320413437</v>
      </c>
    </row>
    <row r="313" ht="12.75">
      <c r="H313" s="1">
        <f>SUM(H308:H312)</f>
        <v>1</v>
      </c>
    </row>
    <row r="314" ht="12.75">
      <c r="H314" s="1"/>
    </row>
    <row r="315" spans="1:8" ht="12.75">
      <c r="A315" s="22">
        <v>218</v>
      </c>
      <c r="B315" s="22"/>
      <c r="D315" s="22">
        <v>226</v>
      </c>
      <c r="E315" s="22"/>
      <c r="G315" s="22">
        <v>234</v>
      </c>
      <c r="H315" s="22"/>
    </row>
    <row r="316" spans="1:8" ht="12.75">
      <c r="A316" t="s">
        <v>3</v>
      </c>
      <c r="B316" s="4">
        <f>275/325.4</f>
        <v>0.8451137062077444</v>
      </c>
      <c r="D316" t="s">
        <v>3</v>
      </c>
      <c r="E316" s="4">
        <f>275/319</f>
        <v>0.8620689655172413</v>
      </c>
      <c r="G316" t="s">
        <v>3</v>
      </c>
      <c r="H316" s="4">
        <f>275/325</f>
        <v>0.8461538461538461</v>
      </c>
    </row>
    <row r="317" spans="1:8" ht="12.75">
      <c r="A317" t="s">
        <v>1</v>
      </c>
      <c r="B317" s="4">
        <f>32/325.4</f>
        <v>0.09834050399508298</v>
      </c>
      <c r="D317" t="s">
        <v>16</v>
      </c>
      <c r="E317" s="4">
        <f>30/319</f>
        <v>0.09404388714733543</v>
      </c>
      <c r="G317" t="s">
        <v>20</v>
      </c>
      <c r="H317" s="4">
        <f>24/325</f>
        <v>0.07384615384615385</v>
      </c>
    </row>
    <row r="318" spans="1:8" ht="12.75">
      <c r="A318" t="s">
        <v>16</v>
      </c>
      <c r="B318" s="4">
        <f>14/325.4</f>
        <v>0.043023970497848806</v>
      </c>
      <c r="D318" t="s">
        <v>11</v>
      </c>
      <c r="E318" s="4">
        <f>10/319</f>
        <v>0.03134796238244514</v>
      </c>
      <c r="G318" t="s">
        <v>16</v>
      </c>
      <c r="H318" s="4">
        <f>12/325</f>
        <v>0.036923076923076927</v>
      </c>
    </row>
    <row r="319" spans="1:8" ht="13.5" thickBot="1">
      <c r="A319" t="s">
        <v>11</v>
      </c>
      <c r="B319" s="4">
        <f>4/325.4</f>
        <v>0.012292562999385373</v>
      </c>
      <c r="D319" t="s">
        <v>1</v>
      </c>
      <c r="E319" s="3">
        <f>4/319</f>
        <v>0.012539184952978056</v>
      </c>
      <c r="G319" t="s">
        <v>11</v>
      </c>
      <c r="H319" s="4">
        <f>10/325</f>
        <v>0.03076923076923077</v>
      </c>
    </row>
    <row r="320" spans="1:8" ht="13.5" thickBot="1">
      <c r="A320" t="s">
        <v>75</v>
      </c>
      <c r="B320" s="3">
        <f>0.4/325.4</f>
        <v>0.0012292562999385373</v>
      </c>
      <c r="E320" s="1">
        <f>SUM(E316:E319)</f>
        <v>0.9999999999999999</v>
      </c>
      <c r="G320" t="s">
        <v>1</v>
      </c>
      <c r="H320" s="3">
        <f>4/325</f>
        <v>0.012307692307692308</v>
      </c>
    </row>
    <row r="321" spans="2:8" ht="12.75">
      <c r="B321" s="1">
        <f>SUM(B316:B320)</f>
        <v>1.0000000000000002</v>
      </c>
      <c r="H321" s="1">
        <f>SUM(H316:H320)</f>
        <v>1</v>
      </c>
    </row>
    <row r="322" spans="2:5" ht="12.75">
      <c r="B322" s="1"/>
      <c r="D322" s="22">
        <v>227</v>
      </c>
      <c r="E322" s="22"/>
    </row>
    <row r="323" spans="1:8" ht="12.75">
      <c r="A323" s="22">
        <v>219</v>
      </c>
      <c r="B323" s="22"/>
      <c r="D323" t="s">
        <v>3</v>
      </c>
      <c r="E323" s="4">
        <f>275/334</f>
        <v>0.8233532934131736</v>
      </c>
      <c r="G323" s="22">
        <v>235</v>
      </c>
      <c r="H323" s="22"/>
    </row>
    <row r="324" spans="1:8" ht="12.75">
      <c r="A324" t="s">
        <v>3</v>
      </c>
      <c r="B324" s="4">
        <f>275/319.8</f>
        <v>0.8599124452782989</v>
      </c>
      <c r="D324" t="s">
        <v>16</v>
      </c>
      <c r="E324" s="4">
        <f>40/334</f>
        <v>0.11976047904191617</v>
      </c>
      <c r="G324" t="s">
        <v>3</v>
      </c>
      <c r="H324" s="4">
        <f>275/323.6</f>
        <v>0.849814585908529</v>
      </c>
    </row>
    <row r="325" spans="1:8" ht="12.75">
      <c r="A325" t="s">
        <v>16</v>
      </c>
      <c r="B325" s="4">
        <f>36/319.8</f>
        <v>0.1125703564727955</v>
      </c>
      <c r="D325" t="s">
        <v>11</v>
      </c>
      <c r="E325" s="4">
        <f>14/334</f>
        <v>0.041916167664670656</v>
      </c>
      <c r="G325" t="s">
        <v>11</v>
      </c>
      <c r="H325" s="4">
        <f>44/323.6</f>
        <v>0.13597033374536463</v>
      </c>
    </row>
    <row r="326" spans="1:8" ht="12.75">
      <c r="A326" t="s">
        <v>11</v>
      </c>
      <c r="B326" s="4">
        <f>4.4/319.8</f>
        <v>0.013758599124452783</v>
      </c>
      <c r="D326" t="s">
        <v>1</v>
      </c>
      <c r="E326" s="4">
        <f>4/334</f>
        <v>0.011976047904191617</v>
      </c>
      <c r="G326" t="s">
        <v>1</v>
      </c>
      <c r="H326" s="4">
        <f>4/323.6</f>
        <v>0.012360939431396786</v>
      </c>
    </row>
    <row r="327" spans="1:8" ht="13.5" thickBot="1">
      <c r="A327" t="s">
        <v>1</v>
      </c>
      <c r="B327" s="4">
        <f>4/319.8</f>
        <v>0.012507817385866166</v>
      </c>
      <c r="D327" t="s">
        <v>75</v>
      </c>
      <c r="E327" s="3">
        <f>1/334</f>
        <v>0.0029940119760479044</v>
      </c>
      <c r="G327" t="s">
        <v>75</v>
      </c>
      <c r="H327" s="3">
        <f>0.6/323.6</f>
        <v>0.0018541409147095178</v>
      </c>
    </row>
    <row r="328" spans="1:8" ht="13.5" thickBot="1">
      <c r="A328" t="s">
        <v>18</v>
      </c>
      <c r="B328" s="3">
        <f>0.4/319.8</f>
        <v>0.0012507817385866166</v>
      </c>
      <c r="E328" s="1">
        <f>SUM(E323:E327)</f>
        <v>0.9999999999999999</v>
      </c>
      <c r="H328" s="1">
        <f>SUM(H324:H327)</f>
        <v>0.9999999999999999</v>
      </c>
    </row>
    <row r="329" ht="12.75">
      <c r="B329" s="1">
        <f>SUM(B324:B328)</f>
        <v>0.9999999999999999</v>
      </c>
    </row>
    <row r="330" spans="2:8" ht="12.75">
      <c r="B330" s="1"/>
      <c r="D330" s="22">
        <v>228</v>
      </c>
      <c r="E330" s="22"/>
      <c r="G330" s="22">
        <v>236</v>
      </c>
      <c r="H330" s="22"/>
    </row>
    <row r="331" spans="1:8" ht="12.75">
      <c r="A331" s="22">
        <v>220</v>
      </c>
      <c r="B331" s="22"/>
      <c r="D331" t="s">
        <v>3</v>
      </c>
      <c r="E331" s="4">
        <f>275/323.4</f>
        <v>0.8503401360544218</v>
      </c>
      <c r="G331" t="s">
        <v>3</v>
      </c>
      <c r="H331" s="4">
        <f>275/344.2</f>
        <v>0.7989540964555492</v>
      </c>
    </row>
    <row r="332" spans="1:8" ht="12.75">
      <c r="A332" t="s">
        <v>3</v>
      </c>
      <c r="B332" s="4">
        <f>275/339.4</f>
        <v>0.8102533883323513</v>
      </c>
      <c r="D332" t="s">
        <v>11</v>
      </c>
      <c r="E332" s="4">
        <f>44/323.4</f>
        <v>0.1360544217687075</v>
      </c>
      <c r="G332" t="s">
        <v>1</v>
      </c>
      <c r="H332" s="4">
        <f>60/344.2</f>
        <v>0.17431725740848344</v>
      </c>
    </row>
    <row r="333" spans="1:8" ht="12.75">
      <c r="A333" t="s">
        <v>16</v>
      </c>
      <c r="B333" s="4">
        <f>36/339.4</f>
        <v>0.10606953447259872</v>
      </c>
      <c r="D333" t="s">
        <v>1</v>
      </c>
      <c r="E333" s="4">
        <f>4/323.4</f>
        <v>0.012368583797155226</v>
      </c>
      <c r="G333" t="s">
        <v>16</v>
      </c>
      <c r="H333" s="4">
        <f>4.8/344.2</f>
        <v>0.013945380592678676</v>
      </c>
    </row>
    <row r="334" spans="1:8" ht="13.5" thickBot="1">
      <c r="A334" t="s">
        <v>11</v>
      </c>
      <c r="B334" s="4">
        <f>24/339.4</f>
        <v>0.07071302298173247</v>
      </c>
      <c r="D334" t="s">
        <v>75</v>
      </c>
      <c r="E334" s="3">
        <f>0.4/323.4</f>
        <v>0.0012368583797155227</v>
      </c>
      <c r="G334" t="s">
        <v>21</v>
      </c>
      <c r="H334" s="4">
        <f>4/344.2</f>
        <v>0.011621150493898896</v>
      </c>
    </row>
    <row r="335" spans="1:8" ht="13.5" thickBot="1">
      <c r="A335" t="s">
        <v>1</v>
      </c>
      <c r="B335" s="4">
        <f>4/339.4</f>
        <v>0.011785503830288745</v>
      </c>
      <c r="E335" s="1">
        <f>SUM(E331:E334)</f>
        <v>1</v>
      </c>
      <c r="G335" t="s">
        <v>5</v>
      </c>
      <c r="H335" s="3">
        <f>0.4/344.2</f>
        <v>0.0011621150493898898</v>
      </c>
    </row>
    <row r="336" spans="1:8" ht="13.5" thickBot="1">
      <c r="A336" t="s">
        <v>74</v>
      </c>
      <c r="B336" s="3">
        <f>0.4/339.4</f>
        <v>0.0011785503830288747</v>
      </c>
      <c r="H336" s="1">
        <f>SUM(H331:H335)</f>
        <v>1</v>
      </c>
    </row>
    <row r="337" spans="2:5" ht="12.75">
      <c r="B337" s="1">
        <f>SUM(B332:B336)</f>
        <v>1</v>
      </c>
      <c r="D337" s="22">
        <v>229</v>
      </c>
      <c r="E337" s="22"/>
    </row>
    <row r="338" spans="2:8" ht="12.75">
      <c r="B338" s="1"/>
      <c r="D338" t="s">
        <v>3</v>
      </c>
      <c r="E338" s="4">
        <f>275/323.6</f>
        <v>0.849814585908529</v>
      </c>
      <c r="G338" s="22">
        <v>237</v>
      </c>
      <c r="H338" s="22"/>
    </row>
    <row r="339" spans="1:8" ht="12.75">
      <c r="A339" s="22">
        <v>221</v>
      </c>
      <c r="B339" s="22"/>
      <c r="D339" t="s">
        <v>11</v>
      </c>
      <c r="E339" s="4">
        <f>44/323.6</f>
        <v>0.13597033374536463</v>
      </c>
      <c r="G339" t="s">
        <v>3</v>
      </c>
      <c r="H339" s="4">
        <f>275/377.4</f>
        <v>0.7286698463169052</v>
      </c>
    </row>
    <row r="340" spans="1:8" ht="12.75">
      <c r="A340" t="s">
        <v>3</v>
      </c>
      <c r="B340" s="4">
        <f>275/331.6</f>
        <v>0.8293124246079614</v>
      </c>
      <c r="D340" t="s">
        <v>1</v>
      </c>
      <c r="E340" s="4">
        <f>4/323.6</f>
        <v>0.012360939431396786</v>
      </c>
      <c r="G340" t="s">
        <v>1</v>
      </c>
      <c r="H340" s="4">
        <f>66/377.4</f>
        <v>0.17488076311605724</v>
      </c>
    </row>
    <row r="341" spans="1:8" ht="13.5" thickBot="1">
      <c r="A341" t="s">
        <v>11</v>
      </c>
      <c r="B341" s="4">
        <f>36/331.6</f>
        <v>0.10856453558504221</v>
      </c>
      <c r="D341" t="s">
        <v>6</v>
      </c>
      <c r="E341" s="3">
        <f>0.6/323.6</f>
        <v>0.0018541409147095178</v>
      </c>
      <c r="G341" t="s">
        <v>16</v>
      </c>
      <c r="H341" s="4">
        <f>20/377.4</f>
        <v>0.052994170641229466</v>
      </c>
    </row>
    <row r="342" spans="1:8" ht="12.75">
      <c r="A342" t="s">
        <v>16</v>
      </c>
      <c r="B342" s="4">
        <f>16/331.6</f>
        <v>0.04825090470446321</v>
      </c>
      <c r="E342" s="1">
        <f>SUM(E338:E341)</f>
        <v>0.9999999999999999</v>
      </c>
      <c r="G342" t="s">
        <v>20</v>
      </c>
      <c r="H342" s="4">
        <f>14/377.4</f>
        <v>0.03709591944886063</v>
      </c>
    </row>
    <row r="343" spans="1:8" ht="13.5" thickBot="1">
      <c r="A343" t="s">
        <v>1</v>
      </c>
      <c r="B343" s="4">
        <f>4/331.6</f>
        <v>0.012062726176115802</v>
      </c>
      <c r="G343" t="s">
        <v>11</v>
      </c>
      <c r="H343" s="3">
        <f>2.4/377.4</f>
        <v>0.006359300476947536</v>
      </c>
    </row>
    <row r="344" spans="1:8" ht="13.5" thickBot="1">
      <c r="A344" t="s">
        <v>74</v>
      </c>
      <c r="B344" s="3">
        <f>0.6/331.6</f>
        <v>0.00180940892641737</v>
      </c>
      <c r="D344" s="22">
        <v>230</v>
      </c>
      <c r="E344" s="22"/>
      <c r="H344" s="1">
        <f>SUM(H339:H343)</f>
        <v>1</v>
      </c>
    </row>
    <row r="345" spans="2:5" ht="12.75">
      <c r="B345" s="1">
        <f>SUM(B340:B344)</f>
        <v>1</v>
      </c>
      <c r="D345" t="s">
        <v>3</v>
      </c>
      <c r="E345" s="4">
        <f>275/344.8</f>
        <v>0.7975638051044083</v>
      </c>
    </row>
    <row r="346" spans="2:8" ht="12.75">
      <c r="B346" s="1"/>
      <c r="D346" t="s">
        <v>1</v>
      </c>
      <c r="E346" s="4">
        <f>64/344.8</f>
        <v>0.18561484918793503</v>
      </c>
      <c r="G346" s="22">
        <v>238</v>
      </c>
      <c r="H346" s="22"/>
    </row>
    <row r="347" spans="1:8" ht="12.75">
      <c r="A347" s="22">
        <v>222</v>
      </c>
      <c r="B347" s="22"/>
      <c r="D347" t="s">
        <v>16</v>
      </c>
      <c r="E347" s="4">
        <f>5/344.8</f>
        <v>0.014501160092807424</v>
      </c>
      <c r="G347" t="s">
        <v>3</v>
      </c>
      <c r="H347" s="4">
        <f>275/327.6</f>
        <v>0.8394383394383393</v>
      </c>
    </row>
    <row r="348" spans="1:8" ht="13.5" thickBot="1">
      <c r="A348" t="s">
        <v>3</v>
      </c>
      <c r="B348" s="4">
        <f>275/314.2</f>
        <v>0.8752387014640357</v>
      </c>
      <c r="D348" t="s">
        <v>11</v>
      </c>
      <c r="E348" s="3">
        <f>0.8/344.8</f>
        <v>0.002320185614849188</v>
      </c>
      <c r="G348" t="s">
        <v>22</v>
      </c>
      <c r="H348" s="4">
        <f>20.8/327.6</f>
        <v>0.06349206349206349</v>
      </c>
    </row>
    <row r="349" spans="1:8" ht="12.75">
      <c r="A349" t="s">
        <v>74</v>
      </c>
      <c r="B349" s="4">
        <f>24/314.2</f>
        <v>0.07638446849140675</v>
      </c>
      <c r="E349" s="1">
        <f>SUM(E345:E348)</f>
        <v>0.9999999999999999</v>
      </c>
      <c r="G349" t="s">
        <v>20</v>
      </c>
      <c r="H349" s="4">
        <f>18.8/327.6</f>
        <v>0.057387057387057384</v>
      </c>
    </row>
    <row r="350" spans="1:8" ht="13.5" thickBot="1">
      <c r="A350" t="s">
        <v>1</v>
      </c>
      <c r="B350" s="4">
        <f>14/314.2</f>
        <v>0.04455760661998727</v>
      </c>
      <c r="G350" t="s">
        <v>1</v>
      </c>
      <c r="H350" s="3">
        <f>13/327.6</f>
        <v>0.03968253968253968</v>
      </c>
    </row>
    <row r="351" spans="1:8" ht="12.75">
      <c r="A351" t="s">
        <v>19</v>
      </c>
      <c r="B351" s="4">
        <f>0.8/314.2</f>
        <v>0.0025461489497135585</v>
      </c>
      <c r="D351" s="22">
        <v>231</v>
      </c>
      <c r="E351" s="22"/>
      <c r="H351" s="1">
        <f>SUM(H347:H350)</f>
        <v>0.9999999999999999</v>
      </c>
    </row>
    <row r="352" spans="1:5" ht="13.5" thickBot="1">
      <c r="A352" t="s">
        <v>5</v>
      </c>
      <c r="B352" s="3">
        <f>0.4/314.2</f>
        <v>0.0012730744748567792</v>
      </c>
      <c r="D352" t="s">
        <v>3</v>
      </c>
      <c r="E352" s="4">
        <f>275/328.4</f>
        <v>0.8373934226552985</v>
      </c>
    </row>
    <row r="353" spans="2:8" ht="12.75">
      <c r="B353" s="1">
        <f>SUM(B348:B352)</f>
        <v>1.0000000000000002</v>
      </c>
      <c r="D353" t="s">
        <v>1</v>
      </c>
      <c r="E353" s="4">
        <f>24/328.4</f>
        <v>0.0730816077953715</v>
      </c>
      <c r="G353" s="22">
        <v>239</v>
      </c>
      <c r="H353" s="22"/>
    </row>
    <row r="354" spans="2:8" ht="11.25" customHeight="1">
      <c r="B354" s="1"/>
      <c r="D354" t="s">
        <v>16</v>
      </c>
      <c r="E354" s="4">
        <f>19/328.4</f>
        <v>0.05785627283800244</v>
      </c>
      <c r="G354" t="s">
        <v>3</v>
      </c>
      <c r="H354" s="4">
        <f>275/315.2</f>
        <v>0.8724619289340102</v>
      </c>
    </row>
    <row r="355" spans="1:8" ht="12.75">
      <c r="A355" s="22">
        <v>223</v>
      </c>
      <c r="B355" s="22"/>
      <c r="D355" t="s">
        <v>20</v>
      </c>
      <c r="E355" s="4">
        <f>10/328.4</f>
        <v>0.030450669914738125</v>
      </c>
      <c r="G355" t="s">
        <v>16</v>
      </c>
      <c r="H355" s="4">
        <f>20.4/315.2</f>
        <v>0.06472081218274112</v>
      </c>
    </row>
    <row r="356" spans="1:8" ht="12" customHeight="1" thickBot="1">
      <c r="A356" t="s">
        <v>3</v>
      </c>
      <c r="B356" s="4">
        <f>275/370.2</f>
        <v>0.7428417071853053</v>
      </c>
      <c r="D356" t="s">
        <v>5</v>
      </c>
      <c r="E356" s="3">
        <f>0.4/328.4</f>
        <v>0.0012180267965895251</v>
      </c>
      <c r="G356" t="s">
        <v>20</v>
      </c>
      <c r="H356" s="4">
        <f>15.4/315.2</f>
        <v>0.04885786802030457</v>
      </c>
    </row>
    <row r="357" spans="1:8" ht="12" customHeight="1">
      <c r="A357" t="s">
        <v>1</v>
      </c>
      <c r="B357" s="4">
        <f>86/370.2</f>
        <v>0.23230686115613183</v>
      </c>
      <c r="E357" s="1">
        <f>SUM(E352:E356)</f>
        <v>1</v>
      </c>
      <c r="G357" t="s">
        <v>1</v>
      </c>
      <c r="H357" s="4">
        <f>4/315.2</f>
        <v>0.012690355329949238</v>
      </c>
    </row>
    <row r="358" spans="1:8" ht="13.5" thickBot="1">
      <c r="A358" t="s">
        <v>16</v>
      </c>
      <c r="B358" s="4">
        <f>5/370.2</f>
        <v>0.01350621285791464</v>
      </c>
      <c r="G358" t="s">
        <v>75</v>
      </c>
      <c r="H358" s="3">
        <f>0.4/315.2</f>
        <v>0.001269035532994924</v>
      </c>
    </row>
    <row r="359" spans="1:8" ht="12.75">
      <c r="A359" t="s">
        <v>11</v>
      </c>
      <c r="B359" s="4">
        <f>4/370.2</f>
        <v>0.010804970286331712</v>
      </c>
      <c r="D359" s="22">
        <v>232</v>
      </c>
      <c r="E359" s="22"/>
      <c r="H359" s="1">
        <f>SUM(H354:H358)</f>
        <v>1</v>
      </c>
    </row>
    <row r="360" spans="1:5" ht="13.5" thickBot="1">
      <c r="A360" t="s">
        <v>7</v>
      </c>
      <c r="B360" s="3">
        <f>0.2/370.2</f>
        <v>0.0005402485143165856</v>
      </c>
      <c r="D360" t="s">
        <v>3</v>
      </c>
      <c r="E360" s="4">
        <f>275/316</f>
        <v>0.870253164556962</v>
      </c>
    </row>
    <row r="361" spans="2:8" ht="12.75">
      <c r="B361" s="1">
        <f>SUM(B356:B360)</f>
        <v>1.0000000000000002</v>
      </c>
      <c r="D361" t="s">
        <v>16</v>
      </c>
      <c r="E361" s="4">
        <f>20/316</f>
        <v>0.06329113924050633</v>
      </c>
      <c r="G361" s="22">
        <v>240</v>
      </c>
      <c r="H361" s="22"/>
    </row>
    <row r="362" spans="2:8" ht="11.25" customHeight="1">
      <c r="B362" s="1"/>
      <c r="D362" t="s">
        <v>20</v>
      </c>
      <c r="E362" s="4">
        <f>11/316</f>
        <v>0.03481012658227848</v>
      </c>
      <c r="G362" t="s">
        <v>3</v>
      </c>
      <c r="H362" s="4">
        <f>275/316</f>
        <v>0.870253164556962</v>
      </c>
    </row>
    <row r="363" spans="1:8" ht="13.5" thickBot="1">
      <c r="A363" s="22">
        <v>224</v>
      </c>
      <c r="B363" s="22"/>
      <c r="D363" t="s">
        <v>1</v>
      </c>
      <c r="E363" s="3">
        <f>10/316</f>
        <v>0.03164556962025317</v>
      </c>
      <c r="G363" t="s">
        <v>20</v>
      </c>
      <c r="H363" s="4">
        <f>24/316</f>
        <v>0.0759493670886076</v>
      </c>
    </row>
    <row r="364" spans="1:8" ht="12" customHeight="1">
      <c r="A364" t="s">
        <v>3</v>
      </c>
      <c r="B364" s="4">
        <f>275/333.1</f>
        <v>0.8255779045331731</v>
      </c>
      <c r="E364" s="1">
        <f>SUM(E360:E363)</f>
        <v>1</v>
      </c>
      <c r="G364" t="s">
        <v>16</v>
      </c>
      <c r="H364" s="4">
        <f>12/316</f>
        <v>0.0379746835443038</v>
      </c>
    </row>
    <row r="365" spans="1:8" ht="12.75">
      <c r="A365" t="s">
        <v>1</v>
      </c>
      <c r="B365" s="4">
        <f>40/333.1</f>
        <v>0.12008405884118882</v>
      </c>
      <c r="G365" t="s">
        <v>11</v>
      </c>
      <c r="H365" s="4">
        <f>3/316</f>
        <v>0.00949367088607595</v>
      </c>
    </row>
    <row r="366" spans="1:8" ht="12" customHeight="1" thickBot="1">
      <c r="A366" t="s">
        <v>16</v>
      </c>
      <c r="B366" s="4">
        <f>12/333.1</f>
        <v>0.036025217652356646</v>
      </c>
      <c r="D366" s="22">
        <v>233</v>
      </c>
      <c r="E366" s="22"/>
      <c r="G366" t="s">
        <v>1</v>
      </c>
      <c r="H366" s="3">
        <f>2/316</f>
        <v>0.006329113924050633</v>
      </c>
    </row>
    <row r="367" spans="1:8" ht="12.75">
      <c r="A367" t="s">
        <v>11</v>
      </c>
      <c r="B367" s="4">
        <f>6/333.1</f>
        <v>0.018012608826178323</v>
      </c>
      <c r="D367" t="s">
        <v>3</v>
      </c>
      <c r="E367" s="4">
        <f>275/318.2</f>
        <v>0.8642363293526084</v>
      </c>
      <c r="H367" s="1">
        <f>SUM(H362:H366)</f>
        <v>1</v>
      </c>
    </row>
    <row r="368" spans="1:5" ht="12" customHeight="1" thickBot="1">
      <c r="A368" t="s">
        <v>7</v>
      </c>
      <c r="B368" s="3">
        <f>0.1/333.1</f>
        <v>0.0003002101471029721</v>
      </c>
      <c r="D368" t="s">
        <v>16</v>
      </c>
      <c r="E368" s="4">
        <f>22.8/318.2</f>
        <v>0.07165304839723445</v>
      </c>
    </row>
    <row r="369" spans="2:8" ht="11.25" customHeight="1">
      <c r="B369" s="1">
        <f>SUM(B364:B368)</f>
        <v>0.9999999999999999</v>
      </c>
      <c r="D369" t="s">
        <v>20</v>
      </c>
      <c r="E369" s="4">
        <f>15.4/318.2</f>
        <v>0.04839723444374607</v>
      </c>
      <c r="G369" s="22">
        <v>241</v>
      </c>
      <c r="H369" s="22"/>
    </row>
    <row r="370" spans="1:8" ht="12.75">
      <c r="A370" s="22">
        <v>225</v>
      </c>
      <c r="B370" s="22"/>
      <c r="D370" t="s">
        <v>11</v>
      </c>
      <c r="E370" s="4">
        <f>3/318.2</f>
        <v>0.009428032683846638</v>
      </c>
      <c r="G370" t="s">
        <v>3</v>
      </c>
      <c r="H370" s="4">
        <f>275/324</f>
        <v>0.8487654320987654</v>
      </c>
    </row>
    <row r="371" spans="1:8" ht="12" customHeight="1" thickBot="1">
      <c r="A371" t="s">
        <v>3</v>
      </c>
      <c r="B371" s="4">
        <f>275/320.6</f>
        <v>0.8577666874610106</v>
      </c>
      <c r="D371" t="s">
        <v>1</v>
      </c>
      <c r="E371" s="3">
        <f>2/318.2</f>
        <v>0.006285355122564425</v>
      </c>
      <c r="G371" t="s">
        <v>20</v>
      </c>
      <c r="H371" s="4">
        <f>30/324</f>
        <v>0.09259259259259259</v>
      </c>
    </row>
    <row r="372" spans="1:8" ht="12.75">
      <c r="A372" t="s">
        <v>16</v>
      </c>
      <c r="B372" s="4">
        <f>39/320.6</f>
        <v>0.12164691203992513</v>
      </c>
      <c r="E372" s="1">
        <f>SUM(E367:E371)</f>
        <v>1</v>
      </c>
      <c r="G372" t="s">
        <v>16</v>
      </c>
      <c r="H372" s="4">
        <f>8/324</f>
        <v>0.024691358024691357</v>
      </c>
    </row>
    <row r="373" spans="1:8" ht="12" customHeight="1">
      <c r="A373" t="s">
        <v>1</v>
      </c>
      <c r="B373" s="4">
        <f>4/320.6</f>
        <v>0.012476606363069244</v>
      </c>
      <c r="G373" t="s">
        <v>11</v>
      </c>
      <c r="H373" s="4">
        <f>7/324</f>
        <v>0.021604938271604937</v>
      </c>
    </row>
    <row r="374" spans="1:8" ht="13.5" thickBot="1">
      <c r="A374" t="s">
        <v>11</v>
      </c>
      <c r="B374" s="4">
        <f>2/320.6</f>
        <v>0.006238303181534622</v>
      </c>
      <c r="G374" t="s">
        <v>1</v>
      </c>
      <c r="H374" s="3">
        <f>4/324</f>
        <v>0.012345679012345678</v>
      </c>
    </row>
    <row r="375" spans="1:8" ht="12" customHeight="1" thickBot="1">
      <c r="A375" t="s">
        <v>18</v>
      </c>
      <c r="B375" s="3">
        <f>0.6/320.6</f>
        <v>0.0018714909544603866</v>
      </c>
      <c r="H375" s="1">
        <f>SUM(H370:H374)</f>
        <v>1</v>
      </c>
    </row>
    <row r="376" ht="12" customHeight="1">
      <c r="B376" s="1">
        <f>SUM(B371:B375)</f>
        <v>1</v>
      </c>
    </row>
    <row r="377" ht="12" customHeight="1">
      <c r="B377" s="1"/>
    </row>
    <row r="378" spans="1:8" ht="12.75">
      <c r="A378" s="22">
        <v>242</v>
      </c>
      <c r="B378" s="22"/>
      <c r="D378" s="22">
        <v>250</v>
      </c>
      <c r="E378" s="22"/>
      <c r="G378" s="22">
        <v>259</v>
      </c>
      <c r="H378" s="22"/>
    </row>
    <row r="379" spans="1:8" ht="12" customHeight="1">
      <c r="A379" t="s">
        <v>3</v>
      </c>
      <c r="B379" s="4">
        <f>275/295.8</f>
        <v>0.9296822177146721</v>
      </c>
      <c r="D379" t="s">
        <v>3</v>
      </c>
      <c r="E379" s="4">
        <f>275/365.6</f>
        <v>0.7521881838074398</v>
      </c>
      <c r="G379" t="s">
        <v>3</v>
      </c>
      <c r="H379" s="4">
        <f>275/329</f>
        <v>0.8358662613981763</v>
      </c>
    </row>
    <row r="380" spans="1:8" ht="12" customHeight="1">
      <c r="A380" t="s">
        <v>11</v>
      </c>
      <c r="B380" s="4">
        <f>12/295.8</f>
        <v>0.04056795131845842</v>
      </c>
      <c r="D380" t="s">
        <v>1</v>
      </c>
      <c r="E380" s="4">
        <f>90/365.6</f>
        <v>0.24617067833698028</v>
      </c>
      <c r="G380" t="s">
        <v>20</v>
      </c>
      <c r="H380" s="4">
        <f>40/329</f>
        <v>0.12158054711246201</v>
      </c>
    </row>
    <row r="381" spans="1:8" ht="12" customHeight="1">
      <c r="A381" t="s">
        <v>1</v>
      </c>
      <c r="B381" s="4">
        <f>6/295.8</f>
        <v>0.02028397565922921</v>
      </c>
      <c r="D381" t="s">
        <v>11</v>
      </c>
      <c r="E381" s="4">
        <f>0.4/365.6</f>
        <v>0.0010940919037199124</v>
      </c>
      <c r="G381" t="s">
        <v>11</v>
      </c>
      <c r="H381" s="4">
        <f>8/329</f>
        <v>0.0243161094224924</v>
      </c>
    </row>
    <row r="382" spans="1:8" ht="12" customHeight="1" thickBot="1">
      <c r="A382" t="s">
        <v>74</v>
      </c>
      <c r="B382" s="4">
        <f>2.4/295.8</f>
        <v>0.008113590263691683</v>
      </c>
      <c r="D382" t="s">
        <v>18</v>
      </c>
      <c r="E382" s="3">
        <f>0.2/365.6</f>
        <v>0.0005470459518599562</v>
      </c>
      <c r="G382" t="s">
        <v>75</v>
      </c>
      <c r="H382" s="4">
        <f>4/329</f>
        <v>0.0121580547112462</v>
      </c>
    </row>
    <row r="383" spans="1:8" ht="13.5" thickBot="1">
      <c r="A383" t="s">
        <v>23</v>
      </c>
      <c r="B383" s="3">
        <f>0.4/295.8</f>
        <v>0.001352265043948614</v>
      </c>
      <c r="E383" s="1">
        <f>SUM(E379:E382)</f>
        <v>0.9999999999999999</v>
      </c>
      <c r="G383" t="s">
        <v>1</v>
      </c>
      <c r="H383" s="3">
        <f>2/329</f>
        <v>0.0060790273556231</v>
      </c>
    </row>
    <row r="384" spans="2:8" ht="12.75">
      <c r="B384" s="1">
        <f>SUM(B379:B383)</f>
        <v>1</v>
      </c>
      <c r="H384" s="1">
        <f>SUM(H379:H383)</f>
        <v>1</v>
      </c>
    </row>
    <row r="385" spans="2:5" ht="12.75">
      <c r="B385" s="1"/>
      <c r="D385" s="22">
        <v>251</v>
      </c>
      <c r="E385" s="22"/>
    </row>
    <row r="386" spans="1:8" ht="12" customHeight="1">
      <c r="A386" s="22">
        <v>243</v>
      </c>
      <c r="B386" s="22"/>
      <c r="D386" t="s">
        <v>3</v>
      </c>
      <c r="E386" s="4">
        <f>275/372.9</f>
        <v>0.7374631268436579</v>
      </c>
      <c r="G386" s="22">
        <v>260</v>
      </c>
      <c r="H386" s="22"/>
    </row>
    <row r="387" spans="1:8" ht="12" customHeight="1">
      <c r="A387" t="s">
        <v>3</v>
      </c>
      <c r="B387" s="4">
        <f>275/361.8</f>
        <v>0.7600884466556108</v>
      </c>
      <c r="D387" t="s">
        <v>1</v>
      </c>
      <c r="E387" s="4">
        <f>80/372.9</f>
        <v>0.2145347278090641</v>
      </c>
      <c r="G387" t="s">
        <v>3</v>
      </c>
      <c r="H387" s="4">
        <f>275/333</f>
        <v>0.8258258258258259</v>
      </c>
    </row>
    <row r="388" spans="1:8" ht="12" customHeight="1">
      <c r="A388" t="s">
        <v>1</v>
      </c>
      <c r="B388" s="4">
        <f>80/361.8</f>
        <v>0.22111663902708678</v>
      </c>
      <c r="D388" t="s">
        <v>16</v>
      </c>
      <c r="E388" s="4">
        <f>10.2/372.9</f>
        <v>0.027353177795655673</v>
      </c>
      <c r="G388" t="s">
        <v>20</v>
      </c>
      <c r="H388" s="4">
        <f>32/333</f>
        <v>0.0960960960960961</v>
      </c>
    </row>
    <row r="389" spans="1:8" ht="12" customHeight="1">
      <c r="A389" t="s">
        <v>16</v>
      </c>
      <c r="B389" s="4">
        <f>6/361.8</f>
        <v>0.01658374792703151</v>
      </c>
      <c r="D389" t="s">
        <v>25</v>
      </c>
      <c r="E389" s="4">
        <f>6.8/372.9</f>
        <v>0.018235451863770447</v>
      </c>
      <c r="G389" t="s">
        <v>11</v>
      </c>
      <c r="H389" s="4">
        <f>16/333</f>
        <v>0.04804804804804805</v>
      </c>
    </row>
    <row r="390" spans="1:8" ht="12" customHeight="1" thickBot="1">
      <c r="A390" t="s">
        <v>5</v>
      </c>
      <c r="B390" s="4">
        <f>0.4/361.8</f>
        <v>0.001105583195135434</v>
      </c>
      <c r="D390" t="s">
        <v>18</v>
      </c>
      <c r="E390" s="3">
        <f>0.9/372.9</f>
        <v>0.0024135156878519713</v>
      </c>
      <c r="G390" t="s">
        <v>75</v>
      </c>
      <c r="H390" s="4">
        <f>8/333</f>
        <v>0.024024024024024024</v>
      </c>
    </row>
    <row r="391" spans="1:8" ht="12" customHeight="1" thickBot="1">
      <c r="A391" t="s">
        <v>18</v>
      </c>
      <c r="B391" s="3">
        <f>0.4/361.8</f>
        <v>0.001105583195135434</v>
      </c>
      <c r="E391" s="1">
        <f>SUM(E386:E390)</f>
        <v>1</v>
      </c>
      <c r="G391" t="s">
        <v>1</v>
      </c>
      <c r="H391" s="3">
        <f>2/333</f>
        <v>0.006006006006006006</v>
      </c>
    </row>
    <row r="392" spans="2:8" ht="12" customHeight="1">
      <c r="B392" s="1">
        <f>SUM(B387:B391)</f>
        <v>1</v>
      </c>
      <c r="H392" s="1">
        <f>SUM(H387:H391)</f>
        <v>1</v>
      </c>
    </row>
    <row r="393" spans="2:5" ht="12" customHeight="1">
      <c r="B393" s="1"/>
      <c r="D393" s="22">
        <v>252</v>
      </c>
      <c r="E393" s="22"/>
    </row>
    <row r="394" spans="1:8" ht="12.75">
      <c r="A394" s="22">
        <v>244</v>
      </c>
      <c r="B394" s="22"/>
      <c r="D394" t="s">
        <v>3</v>
      </c>
      <c r="E394" s="4">
        <f>275/340.2</f>
        <v>0.8083480305702528</v>
      </c>
      <c r="G394" s="22">
        <v>261</v>
      </c>
      <c r="H394" s="22"/>
    </row>
    <row r="395" spans="1:8" ht="12.75">
      <c r="A395" t="s">
        <v>3</v>
      </c>
      <c r="B395" s="4">
        <f>275/361.2</f>
        <v>0.7613510520487264</v>
      </c>
      <c r="D395" t="s">
        <v>25</v>
      </c>
      <c r="E395" s="4">
        <f>35.2/340.2</f>
        <v>0.10346854791299237</v>
      </c>
      <c r="G395" t="s">
        <v>3</v>
      </c>
      <c r="H395" s="4">
        <f>275/311.2</f>
        <v>0.8836760925449871</v>
      </c>
    </row>
    <row r="396" spans="1:8" ht="12.75">
      <c r="A396" t="s">
        <v>1</v>
      </c>
      <c r="B396" s="4">
        <f>70/361.2</f>
        <v>0.1937984496124031</v>
      </c>
      <c r="D396" t="s">
        <v>1</v>
      </c>
      <c r="E396" s="4">
        <f>24/340.2</f>
        <v>0.07054673721340388</v>
      </c>
      <c r="G396" t="s">
        <v>11</v>
      </c>
      <c r="H396" s="4">
        <f>30/311.2</f>
        <v>0.09640102827763497</v>
      </c>
    </row>
    <row r="397" spans="1:8" ht="12" customHeight="1" thickBot="1">
      <c r="A397" t="s">
        <v>16</v>
      </c>
      <c r="B397" s="4">
        <f>8/361.2</f>
        <v>0.0221483942414175</v>
      </c>
      <c r="D397" t="s">
        <v>16</v>
      </c>
      <c r="E397" s="3">
        <f>6/340.2</f>
        <v>0.01763668430335097</v>
      </c>
      <c r="G397" t="s">
        <v>1</v>
      </c>
      <c r="H397" s="4">
        <f>4/311.2</f>
        <v>0.012853470437017995</v>
      </c>
    </row>
    <row r="398" spans="1:8" ht="12" customHeight="1">
      <c r="A398" t="s">
        <v>20</v>
      </c>
      <c r="B398" s="4">
        <f>8/361.2</f>
        <v>0.0221483942414175</v>
      </c>
      <c r="E398" s="1">
        <f>SUM(E394:E397)</f>
        <v>1</v>
      </c>
      <c r="G398" t="s">
        <v>24</v>
      </c>
      <c r="H398" s="4">
        <f>1.2/311.2</f>
        <v>0.0038560411311053984</v>
      </c>
    </row>
    <row r="399" spans="1:8" ht="12" customHeight="1" thickBot="1">
      <c r="A399" t="s">
        <v>18</v>
      </c>
      <c r="B399" s="3">
        <f>0.2/361.2</f>
        <v>0.0005537098560354375</v>
      </c>
      <c r="G399" t="s">
        <v>5</v>
      </c>
      <c r="H399" s="3">
        <f>1/311.2</f>
        <v>0.003213367609254499</v>
      </c>
    </row>
    <row r="400" spans="2:8" ht="12" customHeight="1">
      <c r="B400" s="1">
        <f>SUM(B395:B399)</f>
        <v>0.9999999999999999</v>
      </c>
      <c r="D400" s="22">
        <v>253</v>
      </c>
      <c r="E400" s="22"/>
      <c r="H400" s="1">
        <f>SUM(H395:H399)</f>
        <v>1</v>
      </c>
    </row>
    <row r="401" spans="2:5" ht="12" customHeight="1">
      <c r="B401" s="1"/>
      <c r="D401" t="s">
        <v>3</v>
      </c>
      <c r="E401" s="4">
        <f>275/312.2</f>
        <v>0.8808456117873159</v>
      </c>
    </row>
    <row r="402" spans="1:8" ht="12" customHeight="1">
      <c r="A402" s="22">
        <v>245</v>
      </c>
      <c r="B402" s="22"/>
      <c r="D402" t="s">
        <v>25</v>
      </c>
      <c r="E402" s="4">
        <f>35/312.2</f>
        <v>0.11210762331838565</v>
      </c>
      <c r="G402" s="22">
        <v>262</v>
      </c>
      <c r="H402" s="22"/>
    </row>
    <row r="403" spans="1:8" ht="12" customHeight="1">
      <c r="A403" t="s">
        <v>3</v>
      </c>
      <c r="B403" s="4">
        <f>275/368.2</f>
        <v>0.7468766974470397</v>
      </c>
      <c r="D403" t="s">
        <v>1</v>
      </c>
      <c r="E403" s="4">
        <f>2/312.2</f>
        <v>0.0064061499039077515</v>
      </c>
      <c r="G403" t="s">
        <v>3</v>
      </c>
      <c r="H403" s="4">
        <f>275/319.7</f>
        <v>0.8601814200813263</v>
      </c>
    </row>
    <row r="404" spans="1:8" ht="13.5" thickBot="1">
      <c r="A404" t="s">
        <v>1</v>
      </c>
      <c r="B404" s="4">
        <f>68/368.2</f>
        <v>0.1846822379141771</v>
      </c>
      <c r="D404" t="s">
        <v>18</v>
      </c>
      <c r="E404" s="3">
        <f>0.2/312.2</f>
        <v>0.0006406149903907752</v>
      </c>
      <c r="G404" t="s">
        <v>11</v>
      </c>
      <c r="H404" s="4">
        <f>36/319.7</f>
        <v>0.11260556771973726</v>
      </c>
    </row>
    <row r="405" spans="1:8" ht="12.75">
      <c r="A405" t="s">
        <v>20</v>
      </c>
      <c r="B405" s="4">
        <f>24/368.2</f>
        <v>0.06518196632265073</v>
      </c>
      <c r="E405" s="1">
        <f>SUM(E401:E404)</f>
        <v>1</v>
      </c>
      <c r="G405" t="s">
        <v>18</v>
      </c>
      <c r="H405" s="4">
        <f>4.8/319.7</f>
        <v>0.015014075695964968</v>
      </c>
    </row>
    <row r="406" spans="1:8" ht="13.5" thickBot="1">
      <c r="A406" t="s">
        <v>16</v>
      </c>
      <c r="B406" s="3">
        <f>1.2/368.2</f>
        <v>0.0032590983161325366</v>
      </c>
      <c r="G406" t="s">
        <v>1</v>
      </c>
      <c r="H406" s="4">
        <f>3.6/319.7</f>
        <v>0.011260556771973726</v>
      </c>
    </row>
    <row r="407" spans="2:8" ht="13.5" thickBot="1">
      <c r="B407" s="1">
        <f>SUM(B403:B406)</f>
        <v>1</v>
      </c>
      <c r="D407" s="22">
        <v>254</v>
      </c>
      <c r="E407" s="22"/>
      <c r="G407" t="s">
        <v>6</v>
      </c>
      <c r="H407" s="3">
        <f>0.3/319.7</f>
        <v>0.0009383797309978105</v>
      </c>
    </row>
    <row r="408" spans="2:8" ht="12.75">
      <c r="B408" s="1"/>
      <c r="D408" t="s">
        <v>3</v>
      </c>
      <c r="E408" s="4">
        <f>275/317.4</f>
        <v>0.8664146187775678</v>
      </c>
      <c r="H408" s="1">
        <f>SUM(H403:H407)</f>
        <v>1</v>
      </c>
    </row>
    <row r="409" spans="1:5" ht="12" customHeight="1">
      <c r="A409" s="22">
        <v>246</v>
      </c>
      <c r="B409" s="22"/>
      <c r="D409" t="s">
        <v>25</v>
      </c>
      <c r="E409" s="4">
        <f>40/317.4</f>
        <v>0.12602394454946442</v>
      </c>
    </row>
    <row r="410" spans="1:8" ht="12" customHeight="1">
      <c r="A410" t="s">
        <v>3</v>
      </c>
      <c r="B410" s="4">
        <f>275/317.6</f>
        <v>0.8658690176322418</v>
      </c>
      <c r="D410" t="s">
        <v>1</v>
      </c>
      <c r="E410" s="4">
        <f>2/317.4</f>
        <v>0.0063011972274732205</v>
      </c>
      <c r="G410" s="22">
        <v>263</v>
      </c>
      <c r="H410" s="22"/>
    </row>
    <row r="411" spans="1:8" ht="12" customHeight="1" thickBot="1">
      <c r="A411" t="s">
        <v>20</v>
      </c>
      <c r="B411" s="4">
        <f>24/317.6</f>
        <v>0.07556675062972291</v>
      </c>
      <c r="D411" t="s">
        <v>18</v>
      </c>
      <c r="E411" s="3">
        <f>0.4/317.4</f>
        <v>0.0012602394454946442</v>
      </c>
      <c r="G411" t="s">
        <v>3</v>
      </c>
      <c r="H411" s="4">
        <f>275/341.7</f>
        <v>0.8047995317529998</v>
      </c>
    </row>
    <row r="412" spans="1:8" ht="12" customHeight="1">
      <c r="A412" t="s">
        <v>16</v>
      </c>
      <c r="B412" s="4">
        <f>16/317.6</f>
        <v>0.05037783375314861</v>
      </c>
      <c r="E412" s="1">
        <f>SUM(E408:E411)</f>
        <v>1</v>
      </c>
      <c r="G412" t="s">
        <v>1</v>
      </c>
      <c r="H412" s="4">
        <f>66/341.7</f>
        <v>0.19315188762071994</v>
      </c>
    </row>
    <row r="413" spans="1:8" ht="13.5" customHeight="1">
      <c r="A413" t="s">
        <v>1</v>
      </c>
      <c r="B413" s="4">
        <f>2/317.6</f>
        <v>0.006297229219143576</v>
      </c>
      <c r="G413" t="s">
        <v>18</v>
      </c>
      <c r="H413" s="4">
        <f>0.4/341.7</f>
        <v>0.001170617500731636</v>
      </c>
    </row>
    <row r="414" spans="1:8" ht="13.5" thickBot="1">
      <c r="A414" t="s">
        <v>75</v>
      </c>
      <c r="B414" s="3">
        <f>0.6/317.6</f>
        <v>0.0018891687657430728</v>
      </c>
      <c r="D414" s="22">
        <v>255</v>
      </c>
      <c r="E414" s="22"/>
      <c r="G414" t="s">
        <v>5</v>
      </c>
      <c r="H414" s="4">
        <f>0.2/341.7</f>
        <v>0.000585308750365818</v>
      </c>
    </row>
    <row r="415" spans="2:8" ht="13.5" thickBot="1">
      <c r="B415" s="1">
        <f>SUM(B410:B414)</f>
        <v>1</v>
      </c>
      <c r="D415" t="s">
        <v>3</v>
      </c>
      <c r="E415" s="4">
        <f>275/300.4</f>
        <v>0.9154460719041279</v>
      </c>
      <c r="G415" t="s">
        <v>75</v>
      </c>
      <c r="H415" s="3">
        <f>0.1/341.7</f>
        <v>0.000292654375182909</v>
      </c>
    </row>
    <row r="416" spans="2:8" ht="12.75">
      <c r="B416" s="1"/>
      <c r="D416" t="s">
        <v>11</v>
      </c>
      <c r="E416" s="4">
        <f>16/300.4</f>
        <v>0.053262316910785625</v>
      </c>
      <c r="H416" s="1">
        <f>SUM(H411:H415)</f>
        <v>1.0000000000000002</v>
      </c>
    </row>
    <row r="417" spans="1:5" ht="12" customHeight="1">
      <c r="A417" s="22">
        <v>247</v>
      </c>
      <c r="B417" s="22"/>
      <c r="D417" t="s">
        <v>1</v>
      </c>
      <c r="E417" s="4">
        <f>6/300.4</f>
        <v>0.01997336884154461</v>
      </c>
    </row>
    <row r="418" spans="1:8" ht="12" customHeight="1" thickBot="1">
      <c r="A418" t="s">
        <v>3</v>
      </c>
      <c r="B418" s="4">
        <f>275/317.2</f>
        <v>0.8669609079445145</v>
      </c>
      <c r="D418" t="s">
        <v>18</v>
      </c>
      <c r="E418" s="3">
        <f>3.4/300.4</f>
        <v>0.011318242343541944</v>
      </c>
      <c r="G418" s="22">
        <v>264</v>
      </c>
      <c r="H418" s="22"/>
    </row>
    <row r="419" spans="1:8" ht="12" customHeight="1">
      <c r="A419" t="s">
        <v>20</v>
      </c>
      <c r="B419" s="4">
        <f>30/317.2</f>
        <v>0.09457755359394704</v>
      </c>
      <c r="E419" s="1">
        <f>SUM(E415:E418)</f>
        <v>1</v>
      </c>
      <c r="G419" t="s">
        <v>3</v>
      </c>
      <c r="H419" s="4">
        <f>275/367.6</f>
        <v>0.7480957562568008</v>
      </c>
    </row>
    <row r="420" spans="1:8" ht="12.75">
      <c r="A420" t="s">
        <v>16</v>
      </c>
      <c r="B420" s="4">
        <f>10/317.2</f>
        <v>0.031525851197982346</v>
      </c>
      <c r="G420" t="s">
        <v>1</v>
      </c>
      <c r="H420" s="4">
        <f>90/367.6</f>
        <v>0.24483133841131663</v>
      </c>
    </row>
    <row r="421" spans="1:8" ht="12.75">
      <c r="A421" t="s">
        <v>1</v>
      </c>
      <c r="B421" s="4">
        <f>2/317.2</f>
        <v>0.006305170239596469</v>
      </c>
      <c r="D421" s="22">
        <v>256</v>
      </c>
      <c r="E421" s="22"/>
      <c r="G421" t="s">
        <v>18</v>
      </c>
      <c r="H421" s="4">
        <f>2.4/367.6</f>
        <v>0.006528835690968443</v>
      </c>
    </row>
    <row r="422" spans="1:8" ht="12" customHeight="1" thickBot="1">
      <c r="A422" t="s">
        <v>18</v>
      </c>
      <c r="B422" s="3">
        <f>0.2/317.2</f>
        <v>0.000630517023959647</v>
      </c>
      <c r="D422" t="s">
        <v>3</v>
      </c>
      <c r="E422" s="4">
        <f>275/347.6</f>
        <v>0.7911392405063291</v>
      </c>
      <c r="G422" t="s">
        <v>75</v>
      </c>
      <c r="H422" s="3">
        <f>0.2/367.6</f>
        <v>0.000544069640914037</v>
      </c>
    </row>
    <row r="423" spans="2:8" ht="12" customHeight="1">
      <c r="B423" s="1">
        <f>SUM(B418:B422)</f>
        <v>1</v>
      </c>
      <c r="D423" t="s">
        <v>1</v>
      </c>
      <c r="E423" s="4">
        <f>72/347.6</f>
        <v>0.20713463751438432</v>
      </c>
      <c r="H423" s="1">
        <f>SUM(H419:H422)</f>
        <v>0.9999999999999999</v>
      </c>
    </row>
    <row r="424" spans="2:5" ht="12.75">
      <c r="B424" s="1"/>
      <c r="D424" t="s">
        <v>11</v>
      </c>
      <c r="E424" s="4">
        <f>0.4/347.6</f>
        <v>0.0011507479861910242</v>
      </c>
    </row>
    <row r="425" spans="1:8" ht="13.5" thickBot="1">
      <c r="A425" s="22">
        <v>248</v>
      </c>
      <c r="B425" s="22"/>
      <c r="D425" t="s">
        <v>18</v>
      </c>
      <c r="E425" s="3">
        <f>0.2/347.6</f>
        <v>0.0005753739930955121</v>
      </c>
      <c r="G425" s="22">
        <v>265</v>
      </c>
      <c r="H425" s="22"/>
    </row>
    <row r="426" spans="1:8" ht="12" customHeight="1">
      <c r="A426" t="s">
        <v>3</v>
      </c>
      <c r="B426" s="4">
        <f>275/319.4</f>
        <v>0.8609893550407014</v>
      </c>
      <c r="E426" s="1">
        <f>SUM(E422:E425)</f>
        <v>0.9999999999999999</v>
      </c>
      <c r="G426" t="s">
        <v>3</v>
      </c>
      <c r="H426" s="4">
        <f>275/365</f>
        <v>0.7534246575342466</v>
      </c>
    </row>
    <row r="427" spans="1:8" ht="12" customHeight="1">
      <c r="A427" t="s">
        <v>20</v>
      </c>
      <c r="B427" s="4">
        <f>36/319.4</f>
        <v>0.11271133375078272</v>
      </c>
      <c r="G427" t="s">
        <v>16</v>
      </c>
      <c r="H427" s="4">
        <f>32/365</f>
        <v>0.08767123287671233</v>
      </c>
    </row>
    <row r="428" spans="1:8" ht="12" customHeight="1">
      <c r="A428" t="s">
        <v>11</v>
      </c>
      <c r="B428" s="4">
        <f>6/319.4</f>
        <v>0.018785222291797122</v>
      </c>
      <c r="D428" s="22">
        <v>257</v>
      </c>
      <c r="E428" s="22"/>
      <c r="G428" t="s">
        <v>1</v>
      </c>
      <c r="H428" s="4">
        <f>26/365</f>
        <v>0.07123287671232877</v>
      </c>
    </row>
    <row r="429" spans="1:8" ht="12" customHeight="1">
      <c r="A429" t="s">
        <v>1</v>
      </c>
      <c r="B429" s="4">
        <f>2/319.4</f>
        <v>0.006261740763932374</v>
      </c>
      <c r="D429" t="s">
        <v>3</v>
      </c>
      <c r="E429" s="4">
        <f>275/321</f>
        <v>0.8566978193146417</v>
      </c>
      <c r="G429" t="s">
        <v>75</v>
      </c>
      <c r="H429" s="4">
        <f>24/365</f>
        <v>0.06575342465753424</v>
      </c>
    </row>
    <row r="430" spans="1:8" ht="12" customHeight="1" thickBot="1">
      <c r="A430" t="s">
        <v>5</v>
      </c>
      <c r="B430" s="3">
        <f>0.4/319.4</f>
        <v>0.0012523481527864748</v>
      </c>
      <c r="D430" t="s">
        <v>1</v>
      </c>
      <c r="E430" s="4">
        <f>44/321</f>
        <v>0.13707165109034267</v>
      </c>
      <c r="G430" t="s">
        <v>20</v>
      </c>
      <c r="H430" s="3">
        <f>8/365</f>
        <v>0.021917808219178082</v>
      </c>
    </row>
    <row r="431" spans="2:8" ht="12" customHeight="1">
      <c r="B431" s="1">
        <f>SUM(B426:B430)</f>
        <v>1</v>
      </c>
      <c r="D431" t="s">
        <v>11</v>
      </c>
      <c r="E431" s="4">
        <f>1.4/321</f>
        <v>0.004361370716510903</v>
      </c>
      <c r="H431" s="1">
        <f>SUM(H426:H430)</f>
        <v>1</v>
      </c>
    </row>
    <row r="432" spans="2:5" ht="12" customHeight="1">
      <c r="B432" s="1"/>
      <c r="D432" t="s">
        <v>18</v>
      </c>
      <c r="E432" s="4">
        <f>0.5/321</f>
        <v>0.001557632398753894</v>
      </c>
    </row>
    <row r="433" spans="1:8" ht="13.5" thickBot="1">
      <c r="A433" s="22">
        <v>249</v>
      </c>
      <c r="B433" s="22"/>
      <c r="D433" t="s">
        <v>6</v>
      </c>
      <c r="E433" s="3">
        <f>0.1/321</f>
        <v>0.00031152647975077883</v>
      </c>
      <c r="G433" s="22">
        <v>266</v>
      </c>
      <c r="H433" s="22"/>
    </row>
    <row r="434" spans="1:8" ht="12" customHeight="1">
      <c r="A434" t="s">
        <v>3</v>
      </c>
      <c r="B434" s="4">
        <f>275/320.7</f>
        <v>0.8574992204552542</v>
      </c>
      <c r="E434" s="1">
        <f>SUM(E429:E433)</f>
        <v>0.9999999999999999</v>
      </c>
      <c r="G434" t="s">
        <v>3</v>
      </c>
      <c r="H434" s="4">
        <f>275/324.4</f>
        <v>0.8477188655980272</v>
      </c>
    </row>
    <row r="435" spans="1:8" ht="12" customHeight="1">
      <c r="A435" t="s">
        <v>11</v>
      </c>
      <c r="B435" s="4">
        <f>33/320.7</f>
        <v>0.1028999064546305</v>
      </c>
      <c r="G435" t="s">
        <v>20</v>
      </c>
      <c r="H435" s="4">
        <f>40/324.4</f>
        <v>0.12330456226880396</v>
      </c>
    </row>
    <row r="436" spans="1:8" ht="12" customHeight="1">
      <c r="A436" t="s">
        <v>1</v>
      </c>
      <c r="B436" s="4">
        <f>11.4/320.7</f>
        <v>0.03554724041159963</v>
      </c>
      <c r="D436" s="22">
        <v>258</v>
      </c>
      <c r="E436" s="22"/>
      <c r="G436" t="s">
        <v>75</v>
      </c>
      <c r="H436" s="4">
        <f>7.4/324.4</f>
        <v>0.022811344019728733</v>
      </c>
    </row>
    <row r="437" spans="1:8" ht="13.5" thickBot="1">
      <c r="A437" t="s">
        <v>24</v>
      </c>
      <c r="B437" s="4">
        <f>0.7/320.7</f>
        <v>0.002182725288431556</v>
      </c>
      <c r="D437" t="s">
        <v>3</v>
      </c>
      <c r="E437" s="4">
        <f>275/338.6</f>
        <v>0.8121677495569993</v>
      </c>
      <c r="G437" t="s">
        <v>1</v>
      </c>
      <c r="H437" s="3">
        <f>2/324.4</f>
        <v>0.006165228113440197</v>
      </c>
    </row>
    <row r="438" spans="1:8" ht="12" customHeight="1" thickBot="1">
      <c r="A438" t="s">
        <v>7</v>
      </c>
      <c r="B438" s="3">
        <f>0.6/320.7</f>
        <v>0.0018709073900841909</v>
      </c>
      <c r="D438" t="s">
        <v>1</v>
      </c>
      <c r="E438" s="4">
        <f>40/338.6</f>
        <v>0.11813349084465445</v>
      </c>
      <c r="H438" s="1">
        <f>SUM(H434:H437)</f>
        <v>1</v>
      </c>
    </row>
    <row r="439" spans="2:5" ht="12" customHeight="1">
      <c r="B439" s="1">
        <f>SUM(B434:B438)</f>
        <v>1</v>
      </c>
      <c r="D439" t="s">
        <v>11</v>
      </c>
      <c r="E439" s="4">
        <f>20/338.6</f>
        <v>0.059066745422327226</v>
      </c>
    </row>
    <row r="440" spans="4:5" ht="12" customHeight="1" thickBot="1">
      <c r="D440" t="s">
        <v>18</v>
      </c>
      <c r="E440" s="3">
        <f>3.6/338.6</f>
        <v>0.010632014176018901</v>
      </c>
    </row>
    <row r="441" ht="12" customHeight="1">
      <c r="E441" s="1">
        <f>SUM(E437:E440)</f>
        <v>0.9999999999999999</v>
      </c>
    </row>
    <row r="442" ht="12" customHeight="1">
      <c r="E442" s="1"/>
    </row>
    <row r="443" spans="1:8" ht="12.75">
      <c r="A443" s="22">
        <v>267</v>
      </c>
      <c r="B443" s="22"/>
      <c r="D443" s="22">
        <v>275</v>
      </c>
      <c r="E443" s="22"/>
      <c r="G443" s="22">
        <v>283</v>
      </c>
      <c r="H443" s="22"/>
    </row>
    <row r="444" spans="1:8" ht="12.75">
      <c r="A444" t="s">
        <v>3</v>
      </c>
      <c r="B444" s="4">
        <f>275/316.4</f>
        <v>0.8691529709228825</v>
      </c>
      <c r="D444" t="s">
        <v>3</v>
      </c>
      <c r="E444" s="4">
        <f>275/326</f>
        <v>0.843558282208589</v>
      </c>
      <c r="G444" t="s">
        <v>3</v>
      </c>
      <c r="H444" s="4">
        <f>275/375.2</f>
        <v>0.7329424307036247</v>
      </c>
    </row>
    <row r="445" spans="1:8" ht="12.75">
      <c r="A445" t="s">
        <v>20</v>
      </c>
      <c r="B445" s="4">
        <f>38/316.4</f>
        <v>0.12010113780025285</v>
      </c>
      <c r="D445" t="s">
        <v>18</v>
      </c>
      <c r="E445" s="4">
        <f>20/326</f>
        <v>0.06134969325153374</v>
      </c>
      <c r="G445" t="s">
        <v>1</v>
      </c>
      <c r="H445" s="4">
        <f>90/375.2</f>
        <v>0.23987206823027718</v>
      </c>
    </row>
    <row r="446" spans="1:8" ht="12.75">
      <c r="A446" t="s">
        <v>1</v>
      </c>
      <c r="B446" s="4">
        <f>2/316.4</f>
        <v>0.006321112515802782</v>
      </c>
      <c r="D446" t="s">
        <v>75</v>
      </c>
      <c r="E446" s="4">
        <f>20/326</f>
        <v>0.06134969325153374</v>
      </c>
      <c r="G446" t="s">
        <v>17</v>
      </c>
      <c r="H446" s="4">
        <f>8.8/375.2</f>
        <v>0.023454157782515993</v>
      </c>
    </row>
    <row r="447" spans="1:8" ht="12.75">
      <c r="A447" t="s">
        <v>24</v>
      </c>
      <c r="B447" s="4">
        <f>1/316.4</f>
        <v>0.003160556257901391</v>
      </c>
      <c r="D447" t="s">
        <v>24</v>
      </c>
      <c r="E447" s="4">
        <f>8/326</f>
        <v>0.024539877300613498</v>
      </c>
      <c r="G447" t="s">
        <v>5</v>
      </c>
      <c r="H447" s="4">
        <f>0.8/375.2</f>
        <v>0.0021321961620469087</v>
      </c>
    </row>
    <row r="448" spans="1:8" ht="13.5" thickBot="1">
      <c r="A448" t="s">
        <v>18</v>
      </c>
      <c r="B448" s="3">
        <f>0.4/316.4</f>
        <v>0.0012642225031605564</v>
      </c>
      <c r="D448" t="s">
        <v>1</v>
      </c>
      <c r="E448" s="3">
        <f>3/326</f>
        <v>0.009202453987730062</v>
      </c>
      <c r="G448" t="s">
        <v>24</v>
      </c>
      <c r="H448" s="3">
        <f>0.6/375.2</f>
        <v>0.0015991471215351812</v>
      </c>
    </row>
    <row r="449" spans="2:8" ht="12.75">
      <c r="B449" s="1">
        <f>SUM(B444:B448)</f>
        <v>1</v>
      </c>
      <c r="E449" s="1">
        <f>SUM(E444:E448)</f>
        <v>0.9999999999999999</v>
      </c>
      <c r="H449" s="1">
        <f>SUM(H444:H448)</f>
        <v>1</v>
      </c>
    </row>
    <row r="450" ht="12.75">
      <c r="B450" s="1"/>
    </row>
    <row r="451" spans="1:8" ht="12.75">
      <c r="A451" s="22">
        <v>268</v>
      </c>
      <c r="B451" s="22"/>
      <c r="D451" s="22">
        <v>276</v>
      </c>
      <c r="E451" s="22"/>
      <c r="G451" s="22">
        <v>284</v>
      </c>
      <c r="H451" s="22"/>
    </row>
    <row r="452" spans="1:8" ht="12.75">
      <c r="A452" t="s">
        <v>3</v>
      </c>
      <c r="B452" s="4">
        <f>275/356</f>
        <v>0.7724719101123596</v>
      </c>
      <c r="D452" t="s">
        <v>3</v>
      </c>
      <c r="E452" s="4">
        <f>275/314.3</f>
        <v>0.8749602290804963</v>
      </c>
      <c r="G452" t="s">
        <v>3</v>
      </c>
      <c r="H452" s="4">
        <f>275/370.1</f>
        <v>0.7430424209673061</v>
      </c>
    </row>
    <row r="453" spans="1:8" ht="12.75">
      <c r="A453" t="s">
        <v>16</v>
      </c>
      <c r="B453" s="4">
        <f>37.2/356</f>
        <v>0.10449438202247192</v>
      </c>
      <c r="D453" t="s">
        <v>18</v>
      </c>
      <c r="E453" s="4">
        <f>36/314.3</f>
        <v>0.11454024817053769</v>
      </c>
      <c r="G453" t="s">
        <v>1</v>
      </c>
      <c r="H453" s="4">
        <f>74/370.1</f>
        <v>0.19994596055120237</v>
      </c>
    </row>
    <row r="454" spans="1:8" ht="12.75">
      <c r="A454" t="s">
        <v>75</v>
      </c>
      <c r="B454" s="4">
        <f>25/356</f>
        <v>0.0702247191011236</v>
      </c>
      <c r="D454" t="s">
        <v>1</v>
      </c>
      <c r="E454" s="4">
        <f>3/314.3</f>
        <v>0.009545020680878142</v>
      </c>
      <c r="G454" t="s">
        <v>75</v>
      </c>
      <c r="H454" s="4">
        <f>18.6/370.1</f>
        <v>0.050256687381788706</v>
      </c>
    </row>
    <row r="455" spans="1:8" ht="13.5" thickBot="1">
      <c r="A455" t="s">
        <v>18</v>
      </c>
      <c r="B455" s="4">
        <f>14.8/356</f>
        <v>0.04157303370786517</v>
      </c>
      <c r="D455" t="s">
        <v>6</v>
      </c>
      <c r="E455" s="3">
        <f>0.3/314.3</f>
        <v>0.0009545020680878141</v>
      </c>
      <c r="G455" t="s">
        <v>24</v>
      </c>
      <c r="H455" s="4">
        <f>2.4/370.1</f>
        <v>0.006484733855714671</v>
      </c>
    </row>
    <row r="456" spans="1:8" ht="13.5" thickBot="1">
      <c r="A456" t="s">
        <v>1</v>
      </c>
      <c r="B456" s="3">
        <f>4/356</f>
        <v>0.011235955056179775</v>
      </c>
      <c r="E456" s="1">
        <f>SUM(E452:E455)</f>
        <v>0.9999999999999999</v>
      </c>
      <c r="G456" t="s">
        <v>6</v>
      </c>
      <c r="H456" s="3">
        <f>0.1/370.1</f>
        <v>0.0002701972439881113</v>
      </c>
    </row>
    <row r="457" spans="2:8" ht="12.75">
      <c r="B457" s="1">
        <f>SUM(B452:B456)</f>
        <v>1</v>
      </c>
      <c r="H457" s="1">
        <f>SUM(H452:H456)</f>
        <v>1</v>
      </c>
    </row>
    <row r="458" spans="2:5" ht="12.75">
      <c r="B458" s="1"/>
      <c r="D458" s="22">
        <v>277</v>
      </c>
      <c r="E458" s="22"/>
    </row>
    <row r="459" spans="1:8" ht="12.75">
      <c r="A459" s="22">
        <v>269</v>
      </c>
      <c r="B459" s="22"/>
      <c r="D459" t="s">
        <v>3</v>
      </c>
      <c r="E459" s="4">
        <f>275/359.4</f>
        <v>0.765164162493044</v>
      </c>
      <c r="G459" s="22">
        <v>285</v>
      </c>
      <c r="H459" s="22"/>
    </row>
    <row r="460" spans="1:8" ht="12.75">
      <c r="A460" t="s">
        <v>3</v>
      </c>
      <c r="B460" s="4">
        <f>275/312.8</f>
        <v>0.879156010230179</v>
      </c>
      <c r="D460" t="s">
        <v>1</v>
      </c>
      <c r="E460" s="4">
        <f>80/359.4</f>
        <v>0.22259321090706735</v>
      </c>
      <c r="G460" t="s">
        <v>3</v>
      </c>
      <c r="H460" s="4">
        <f>275/352.8</f>
        <v>0.7794784580498866</v>
      </c>
    </row>
    <row r="461" spans="1:8" ht="12.75">
      <c r="A461" t="s">
        <v>18</v>
      </c>
      <c r="B461" s="4">
        <f>15/312.8</f>
        <v>0.0479539641943734</v>
      </c>
      <c r="D461" t="s">
        <v>75</v>
      </c>
      <c r="E461" s="4">
        <f>4/359.4</f>
        <v>0.011129660545353368</v>
      </c>
      <c r="G461" t="s">
        <v>75</v>
      </c>
      <c r="H461" s="4">
        <f>38.4/352.8</f>
        <v>0.10884353741496598</v>
      </c>
    </row>
    <row r="462" spans="1:8" ht="13.5" thickBot="1">
      <c r="A462" t="s">
        <v>11</v>
      </c>
      <c r="B462" s="4">
        <f>14/312.8</f>
        <v>0.04475703324808184</v>
      </c>
      <c r="D462" t="s">
        <v>5</v>
      </c>
      <c r="E462" s="3">
        <f>0.4/359.4</f>
        <v>0.0011129660545353367</v>
      </c>
      <c r="G462" t="s">
        <v>1</v>
      </c>
      <c r="H462" s="4">
        <f>29/352.8</f>
        <v>0.08219954648526077</v>
      </c>
    </row>
    <row r="463" spans="1:8" ht="13.5" thickBot="1">
      <c r="A463" t="s">
        <v>1</v>
      </c>
      <c r="B463" s="4">
        <f>5.4/312.8</f>
        <v>0.017263427109974427</v>
      </c>
      <c r="E463" s="1">
        <f>SUM(E459:E462)</f>
        <v>1</v>
      </c>
      <c r="G463" t="s">
        <v>24</v>
      </c>
      <c r="H463" s="3">
        <f>10.4/352.8</f>
        <v>0.02947845804988662</v>
      </c>
    </row>
    <row r="464" spans="1:8" ht="13.5" thickBot="1">
      <c r="A464" t="s">
        <v>5</v>
      </c>
      <c r="B464" s="3">
        <f>3.4/312.8</f>
        <v>0.010869565217391304</v>
      </c>
      <c r="H464" s="1">
        <f>SUM(H460:H463)</f>
        <v>0.9999999999999999</v>
      </c>
    </row>
    <row r="465" spans="2:5" ht="12.75">
      <c r="B465" s="1">
        <f>SUM(B460:B464)</f>
        <v>1</v>
      </c>
      <c r="D465" s="22">
        <v>278</v>
      </c>
      <c r="E465" s="22"/>
    </row>
    <row r="466" spans="2:8" ht="12.75">
      <c r="B466" s="1"/>
      <c r="D466" t="s">
        <v>3</v>
      </c>
      <c r="E466" s="4">
        <f>275/331.6</f>
        <v>0.8293124246079614</v>
      </c>
      <c r="G466" s="22">
        <v>286</v>
      </c>
      <c r="H466" s="22"/>
    </row>
    <row r="467" spans="1:8" ht="12.75">
      <c r="A467" s="22">
        <v>270</v>
      </c>
      <c r="B467" s="22"/>
      <c r="D467" t="s">
        <v>1</v>
      </c>
      <c r="E467" s="4">
        <f>48/331.6</f>
        <v>0.1447527141133896</v>
      </c>
      <c r="G467" t="s">
        <v>3</v>
      </c>
      <c r="H467" s="4">
        <f>275/336</f>
        <v>0.8184523809523809</v>
      </c>
    </row>
    <row r="468" spans="1:8" ht="12.75">
      <c r="A468" t="s">
        <v>3</v>
      </c>
      <c r="B468" s="4">
        <f>275/356.4</f>
        <v>0.771604938271605</v>
      </c>
      <c r="D468" t="s">
        <v>75</v>
      </c>
      <c r="E468" s="4">
        <f>8/331.6</f>
        <v>0.024125452352231604</v>
      </c>
      <c r="G468" t="s">
        <v>75</v>
      </c>
      <c r="H468" s="4">
        <f>47/336</f>
        <v>0.13988095238095238</v>
      </c>
    </row>
    <row r="469" spans="1:8" ht="12.75">
      <c r="A469" t="s">
        <v>1</v>
      </c>
      <c r="B469" s="4">
        <f>78/356.4</f>
        <v>0.21885521885521886</v>
      </c>
      <c r="D469" t="s">
        <v>5</v>
      </c>
      <c r="E469" s="4">
        <f>0.4/331.6</f>
        <v>0.0012062726176115801</v>
      </c>
      <c r="G469" t="s">
        <v>24</v>
      </c>
      <c r="H469" s="4">
        <f>10/336</f>
        <v>0.02976190476190476</v>
      </c>
    </row>
    <row r="470" spans="1:8" ht="13.5" thickBot="1">
      <c r="A470" t="s">
        <v>75</v>
      </c>
      <c r="B470" s="4">
        <f>1.8/356.4</f>
        <v>0.005050505050505051</v>
      </c>
      <c r="D470" t="s">
        <v>24</v>
      </c>
      <c r="E470" s="3">
        <f>0.2/331.6</f>
        <v>0.0006031363088057901</v>
      </c>
      <c r="G470" t="s">
        <v>1</v>
      </c>
      <c r="H470" s="3">
        <f>4/336</f>
        <v>0.011904761904761904</v>
      </c>
    </row>
    <row r="471" spans="1:8" ht="12" customHeight="1">
      <c r="A471" t="s">
        <v>18</v>
      </c>
      <c r="B471" s="4">
        <f>1.4/356.4</f>
        <v>0.003928170594837262</v>
      </c>
      <c r="E471" s="1">
        <f>SUM(E466:E470)</f>
        <v>1</v>
      </c>
      <c r="H471" s="1">
        <f>SUM(H467:H470)</f>
        <v>0.9999999999999999</v>
      </c>
    </row>
    <row r="472" spans="1:2" ht="12.75" customHeight="1" thickBot="1">
      <c r="A472" t="s">
        <v>6</v>
      </c>
      <c r="B472" s="3">
        <f>0.2/356.4</f>
        <v>0.0005611672278338945</v>
      </c>
    </row>
    <row r="473" spans="2:8" ht="12.75">
      <c r="B473" s="1">
        <f>SUM(B468:B472)</f>
        <v>1.0000000000000002</v>
      </c>
      <c r="D473" s="22">
        <v>279</v>
      </c>
      <c r="E473" s="22"/>
      <c r="G473" s="22">
        <v>287</v>
      </c>
      <c r="H473" s="22"/>
    </row>
    <row r="474" spans="2:8" ht="12" customHeight="1">
      <c r="B474" s="1"/>
      <c r="D474" t="s">
        <v>3</v>
      </c>
      <c r="E474" s="4">
        <f>275/359.1</f>
        <v>0.7658033973823447</v>
      </c>
      <c r="G474" t="s">
        <v>3</v>
      </c>
      <c r="H474" s="4">
        <f>275/332.4</f>
        <v>0.8273164861612515</v>
      </c>
    </row>
    <row r="475" spans="1:8" ht="12.75">
      <c r="A475" s="22">
        <v>271</v>
      </c>
      <c r="B475" s="22"/>
      <c r="D475" t="s">
        <v>75</v>
      </c>
      <c r="E475" s="4">
        <f>42/359.1</f>
        <v>0.11695906432748537</v>
      </c>
      <c r="G475" t="s">
        <v>75</v>
      </c>
      <c r="H475" s="4">
        <f>44/332.4</f>
        <v>0.13237063778580024</v>
      </c>
    </row>
    <row r="476" spans="1:8" ht="12.75">
      <c r="A476" t="s">
        <v>3</v>
      </c>
      <c r="B476" s="4">
        <f>275/331.6</f>
        <v>0.8293124246079614</v>
      </c>
      <c r="D476" t="s">
        <v>1</v>
      </c>
      <c r="E476" s="4">
        <f>40/359.1</f>
        <v>0.1113895850737956</v>
      </c>
      <c r="G476" t="s">
        <v>24</v>
      </c>
      <c r="H476" s="4">
        <f>9/332.4</f>
        <v>0.027075812274368234</v>
      </c>
    </row>
    <row r="477" spans="1:8" ht="12.75">
      <c r="A477" t="s">
        <v>1</v>
      </c>
      <c r="B477" s="4">
        <f>48/331.6</f>
        <v>0.1447527141133896</v>
      </c>
      <c r="D477" t="s">
        <v>24</v>
      </c>
      <c r="E477" s="4">
        <f>2/359.1</f>
        <v>0.00556947925368978</v>
      </c>
      <c r="G477" t="s">
        <v>1</v>
      </c>
      <c r="H477" s="4">
        <f>4/332.4</f>
        <v>0.012033694344163659</v>
      </c>
    </row>
    <row r="478" spans="1:8" ht="13.5" thickBot="1">
      <c r="A478" t="s">
        <v>75</v>
      </c>
      <c r="B478" s="4">
        <f>5.2/331.6</f>
        <v>0.015681544028950542</v>
      </c>
      <c r="D478" t="s">
        <v>6</v>
      </c>
      <c r="E478" s="3">
        <f>0.1/359.1</f>
        <v>0.000278473962684489</v>
      </c>
      <c r="G478" t="s">
        <v>19</v>
      </c>
      <c r="H478" s="3">
        <f>0.4/332.4</f>
        <v>0.0012033694344163659</v>
      </c>
    </row>
    <row r="479" spans="1:8" ht="12" customHeight="1">
      <c r="A479" t="s">
        <v>18</v>
      </c>
      <c r="B479" s="4">
        <f>3.2/331.6</f>
        <v>0.009650180940892641</v>
      </c>
      <c r="E479" s="1">
        <f>SUM(E474:E478)</f>
        <v>1</v>
      </c>
      <c r="H479" s="1">
        <f>SUM(H474:H478)</f>
        <v>1.0000000000000002</v>
      </c>
    </row>
    <row r="480" spans="1:2" ht="13.5" thickBot="1">
      <c r="A480" t="s">
        <v>6</v>
      </c>
      <c r="B480" s="3">
        <f>0.2/331.6</f>
        <v>0.0006031363088057901</v>
      </c>
    </row>
    <row r="481" spans="2:8" ht="12" customHeight="1">
      <c r="B481" s="1">
        <f>SUM(B476:B480)</f>
        <v>1</v>
      </c>
      <c r="D481" s="22">
        <v>280</v>
      </c>
      <c r="E481" s="22"/>
      <c r="G481" s="22">
        <v>288</v>
      </c>
      <c r="H481" s="22"/>
    </row>
    <row r="482" spans="2:8" ht="12.75">
      <c r="B482" s="1"/>
      <c r="D482" t="s">
        <v>3</v>
      </c>
      <c r="E482" s="4">
        <f>275/341.2</f>
        <v>0.805978898007034</v>
      </c>
      <c r="G482" t="s">
        <v>3</v>
      </c>
      <c r="H482" s="4">
        <f>275/335.6</f>
        <v>0.8194278903456496</v>
      </c>
    </row>
    <row r="483" spans="1:8" ht="12" customHeight="1">
      <c r="A483" s="22">
        <v>272</v>
      </c>
      <c r="B483" s="22"/>
      <c r="D483" t="s">
        <v>75</v>
      </c>
      <c r="E483" s="4">
        <f>46.6/341.2</f>
        <v>0.1365767878077374</v>
      </c>
      <c r="G483" t="s">
        <v>75</v>
      </c>
      <c r="H483" s="4">
        <f>40/335.6</f>
        <v>0.11918951132300357</v>
      </c>
    </row>
    <row r="484" spans="1:8" ht="12.75">
      <c r="A484" t="s">
        <v>3</v>
      </c>
      <c r="B484" s="4">
        <f>275/324.2</f>
        <v>0.8482418260333128</v>
      </c>
      <c r="D484" t="s">
        <v>24</v>
      </c>
      <c r="E484" s="4">
        <f>17.6/341.2</f>
        <v>0.051582649472450184</v>
      </c>
      <c r="G484" t="s">
        <v>24</v>
      </c>
      <c r="H484" s="4">
        <f>16/335.6</f>
        <v>0.04767580452920143</v>
      </c>
    </row>
    <row r="485" spans="1:8" ht="13.5" thickBot="1">
      <c r="A485" t="s">
        <v>1</v>
      </c>
      <c r="B485" s="4">
        <f>30/324.2</f>
        <v>0.09253547193090685</v>
      </c>
      <c r="D485" t="s">
        <v>1</v>
      </c>
      <c r="E485" s="3">
        <f>2/341.2</f>
        <v>0.005861664712778429</v>
      </c>
      <c r="G485" t="s">
        <v>1</v>
      </c>
      <c r="H485" s="4">
        <f>4/335.6</f>
        <v>0.011918951132300357</v>
      </c>
    </row>
    <row r="486" spans="1:8" ht="13.5" thickBot="1">
      <c r="A486" t="s">
        <v>17</v>
      </c>
      <c r="B486" s="4">
        <f>11.2/324.2</f>
        <v>0.03454657618753856</v>
      </c>
      <c r="E486" s="1">
        <f>SUM(E482:E485)</f>
        <v>1</v>
      </c>
      <c r="G486" t="s">
        <v>19</v>
      </c>
      <c r="H486" s="3">
        <f>0.6/335.6</f>
        <v>0.0017878426698450535</v>
      </c>
    </row>
    <row r="487" spans="1:8" ht="12.75">
      <c r="A487" t="s">
        <v>18</v>
      </c>
      <c r="B487" s="4">
        <f>7.8/324.2</f>
        <v>0.024059222702035782</v>
      </c>
      <c r="H487" s="1">
        <f>SUM(H482:H486)</f>
        <v>1</v>
      </c>
    </row>
    <row r="488" spans="1:5" ht="13.5" thickBot="1">
      <c r="A488" t="s">
        <v>6</v>
      </c>
      <c r="B488" s="3">
        <f>0.2/324.2</f>
        <v>0.0006169031462060457</v>
      </c>
      <c r="D488" s="22">
        <v>281</v>
      </c>
      <c r="E488" s="22"/>
    </row>
    <row r="489" spans="2:8" ht="12.75">
      <c r="B489" s="1">
        <f>SUM(B484:B488)</f>
        <v>0.9999999999999999</v>
      </c>
      <c r="D489" t="s">
        <v>3</v>
      </c>
      <c r="E489" s="4">
        <f>275/340.3</f>
        <v>0.8081104907434616</v>
      </c>
      <c r="G489" s="22">
        <v>289</v>
      </c>
      <c r="H489" s="22"/>
    </row>
    <row r="490" spans="2:8" ht="12" customHeight="1">
      <c r="B490" s="1"/>
      <c r="D490" t="s">
        <v>75</v>
      </c>
      <c r="E490" s="4">
        <f>46/340.3</f>
        <v>0.13517484572436086</v>
      </c>
      <c r="G490" s="7" t="s">
        <v>3</v>
      </c>
      <c r="H490" s="8">
        <f>275/353.9</f>
        <v>0.7770556654422154</v>
      </c>
    </row>
    <row r="491" spans="1:8" ht="12" customHeight="1">
      <c r="A491" s="22">
        <v>273</v>
      </c>
      <c r="B491" s="22"/>
      <c r="D491" t="s">
        <v>24</v>
      </c>
      <c r="E491" s="4">
        <f>17/340.3</f>
        <v>0.04995592124595945</v>
      </c>
      <c r="G491" t="s">
        <v>75</v>
      </c>
      <c r="H491" s="8">
        <f>55/353.9</f>
        <v>0.15541113308844307</v>
      </c>
    </row>
    <row r="492" spans="1:8" ht="12.75">
      <c r="A492" t="s">
        <v>3</v>
      </c>
      <c r="B492" s="4">
        <f>275/347</f>
        <v>0.792507204610951</v>
      </c>
      <c r="D492" t="s">
        <v>1</v>
      </c>
      <c r="E492" s="4">
        <f>2/340.3</f>
        <v>0.0058771672054069935</v>
      </c>
      <c r="G492" s="7" t="s">
        <v>1</v>
      </c>
      <c r="H492" s="8">
        <f>14/353.9</f>
        <v>0.03955919751342187</v>
      </c>
    </row>
    <row r="493" spans="1:8" ht="13.5" thickBot="1">
      <c r="A493" t="s">
        <v>75</v>
      </c>
      <c r="B493" s="4">
        <f>58/347</f>
        <v>0.16714697406340057</v>
      </c>
      <c r="D493" t="s">
        <v>6</v>
      </c>
      <c r="E493" s="3">
        <f>0.3/340.3</f>
        <v>0.000881575080811049</v>
      </c>
      <c r="G493" s="7" t="s">
        <v>24</v>
      </c>
      <c r="H493" s="8">
        <f>8.4/353.9</f>
        <v>0.023735518508053124</v>
      </c>
    </row>
    <row r="494" spans="1:8" ht="13.5" thickBot="1">
      <c r="A494" t="s">
        <v>16</v>
      </c>
      <c r="B494" s="4">
        <f>7.2/347</f>
        <v>0.0207492795389049</v>
      </c>
      <c r="E494" s="1">
        <f>SUM(E489:E493)</f>
        <v>1</v>
      </c>
      <c r="G494" s="7" t="s">
        <v>6</v>
      </c>
      <c r="H494" s="11">
        <f>1.5/353.9</f>
        <v>0.004238485447866629</v>
      </c>
    </row>
    <row r="495" spans="1:8" ht="12" customHeight="1">
      <c r="A495" t="s">
        <v>18</v>
      </c>
      <c r="B495" s="4">
        <f>4.8/347</f>
        <v>0.0138328530259366</v>
      </c>
      <c r="G495" s="7"/>
      <c r="H495" s="10">
        <f>SUM(H490:H494)</f>
        <v>1</v>
      </c>
    </row>
    <row r="496" spans="1:5" ht="12.75" customHeight="1" thickBot="1">
      <c r="A496" t="s">
        <v>1</v>
      </c>
      <c r="B496" s="3">
        <f>2/347</f>
        <v>0.005763688760806916</v>
      </c>
      <c r="D496" s="22">
        <v>282</v>
      </c>
      <c r="E496" s="22"/>
    </row>
    <row r="497" spans="2:8" ht="12.75">
      <c r="B497" s="1">
        <f>SUM(B492:B496)</f>
        <v>1</v>
      </c>
      <c r="D497" t="s">
        <v>3</v>
      </c>
      <c r="E497" s="4">
        <f>275/323</f>
        <v>0.8513931888544891</v>
      </c>
      <c r="G497" s="22">
        <v>290</v>
      </c>
      <c r="H497" s="22"/>
    </row>
    <row r="498" spans="2:8" ht="12.75">
      <c r="B498" s="1"/>
      <c r="D498" t="s">
        <v>24</v>
      </c>
      <c r="E498" s="4">
        <f>44/323</f>
        <v>0.13622291021671826</v>
      </c>
      <c r="G498" t="s">
        <v>3</v>
      </c>
      <c r="H498" s="4">
        <f>275/358.8</f>
        <v>0.7664437012263099</v>
      </c>
    </row>
    <row r="499" spans="1:8" ht="12" customHeight="1">
      <c r="A499" s="22">
        <v>274</v>
      </c>
      <c r="B499" s="22"/>
      <c r="D499" t="s">
        <v>1</v>
      </c>
      <c r="E499" s="4">
        <f>2/323</f>
        <v>0.006191950464396285</v>
      </c>
      <c r="G499" t="s">
        <v>1</v>
      </c>
      <c r="H499" s="4">
        <f>80/358.8</f>
        <v>0.2229654403567447</v>
      </c>
    </row>
    <row r="500" spans="1:8" ht="12" customHeight="1">
      <c r="A500" t="s">
        <v>3</v>
      </c>
      <c r="B500" s="4">
        <f>275/315.4</f>
        <v>0.8719086873811034</v>
      </c>
      <c r="D500" t="s">
        <v>18</v>
      </c>
      <c r="E500" s="4">
        <f>1.6/323</f>
        <v>0.004953560371517028</v>
      </c>
      <c r="G500" t="s">
        <v>75</v>
      </c>
      <c r="H500" s="4">
        <f>3/358.8</f>
        <v>0.008361204013377926</v>
      </c>
    </row>
    <row r="501" spans="1:8" ht="13.5" thickBot="1">
      <c r="A501" t="s">
        <v>75</v>
      </c>
      <c r="B501" s="4">
        <f>24/315.4</f>
        <v>0.07609384908053267</v>
      </c>
      <c r="D501" t="s">
        <v>6</v>
      </c>
      <c r="E501" s="3">
        <f>0.4/323</f>
        <v>0.001238390092879257</v>
      </c>
      <c r="G501" t="s">
        <v>5</v>
      </c>
      <c r="H501" s="3">
        <f>0.8/358.8</f>
        <v>0.002229654403567447</v>
      </c>
    </row>
    <row r="502" spans="1:8" ht="12.75" customHeight="1">
      <c r="A502" t="s">
        <v>18</v>
      </c>
      <c r="B502" s="4">
        <f>12.4/315.4</f>
        <v>0.03931515535827521</v>
      </c>
      <c r="E502" s="1">
        <f>SUM(E497:E501)</f>
        <v>1</v>
      </c>
      <c r="H502" s="1">
        <f>SUM(H498:H501)</f>
        <v>1</v>
      </c>
    </row>
    <row r="503" spans="1:2" ht="12.75" customHeight="1" thickBot="1">
      <c r="A503" t="s">
        <v>1</v>
      </c>
      <c r="B503" s="3">
        <f>4/315.4</f>
        <v>0.012682308180088777</v>
      </c>
    </row>
    <row r="504" ht="12.75" customHeight="1">
      <c r="B504" s="1">
        <f>SUM(B500:B503)</f>
        <v>1</v>
      </c>
    </row>
    <row r="505" spans="1:8" ht="12.75">
      <c r="A505" s="22">
        <v>291</v>
      </c>
      <c r="B505" s="22"/>
      <c r="D505" s="22">
        <v>299</v>
      </c>
      <c r="E505" s="22"/>
      <c r="G505" s="22">
        <v>306</v>
      </c>
      <c r="H505" s="22"/>
    </row>
    <row r="506" spans="1:8" ht="12.75">
      <c r="A506" t="s">
        <v>3</v>
      </c>
      <c r="B506" s="4">
        <f>275/367.7</f>
        <v>0.7478923035082948</v>
      </c>
      <c r="D506" t="s">
        <v>3</v>
      </c>
      <c r="E506" s="4">
        <f>275/361.6</f>
        <v>0.7605088495575221</v>
      </c>
      <c r="G506" t="s">
        <v>3</v>
      </c>
      <c r="H506" s="4">
        <f>275/304.6</f>
        <v>0.9028233749179251</v>
      </c>
    </row>
    <row r="507" spans="1:8" ht="12.75">
      <c r="A507" t="s">
        <v>1</v>
      </c>
      <c r="B507" s="4">
        <f>90/367.7</f>
        <v>0.24476475387544194</v>
      </c>
      <c r="D507" t="s">
        <v>1</v>
      </c>
      <c r="E507" s="4">
        <f>74/361.6</f>
        <v>0.20464601769911503</v>
      </c>
      <c r="G507" t="s">
        <v>10</v>
      </c>
      <c r="H507" s="4">
        <f>20.9/304.6</f>
        <v>0.0686145764937623</v>
      </c>
    </row>
    <row r="508" spans="1:8" ht="12.75">
      <c r="A508" t="s">
        <v>24</v>
      </c>
      <c r="B508" s="4">
        <f>1.1/367.7</f>
        <v>0.0029915692140331795</v>
      </c>
      <c r="D508" t="s">
        <v>24</v>
      </c>
      <c r="E508" s="4">
        <f>10/361.6</f>
        <v>0.027654867256637166</v>
      </c>
      <c r="G508" t="s">
        <v>1</v>
      </c>
      <c r="H508" s="4">
        <f>8/304.6</f>
        <v>0.026263952724885093</v>
      </c>
    </row>
    <row r="509" spans="1:8" ht="13.5" thickBot="1">
      <c r="A509" t="s">
        <v>15</v>
      </c>
      <c r="B509" s="4">
        <f>1/367.7</f>
        <v>0.0027196083763937995</v>
      </c>
      <c r="D509" t="s">
        <v>75</v>
      </c>
      <c r="E509" s="4">
        <f>2/361.6</f>
        <v>0.0055309734513274336</v>
      </c>
      <c r="G509" t="s">
        <v>5</v>
      </c>
      <c r="H509" s="3">
        <f>0.7/304.6</f>
        <v>0.0022980958634274454</v>
      </c>
    </row>
    <row r="510" spans="1:8" ht="13.5" thickBot="1">
      <c r="A510" t="s">
        <v>20</v>
      </c>
      <c r="B510" s="3">
        <f>0.6/367.7</f>
        <v>0.0016317650258362796</v>
      </c>
      <c r="D510" t="s">
        <v>5</v>
      </c>
      <c r="E510" s="3">
        <f>0.6/361.6</f>
        <v>0.0016592920353982298</v>
      </c>
      <c r="H510" s="1">
        <f>SUM(H506:H509)</f>
        <v>1</v>
      </c>
    </row>
    <row r="511" spans="2:5" ht="12.75">
      <c r="B511" s="1">
        <f>SUM(B506:B510)</f>
        <v>1</v>
      </c>
      <c r="E511" s="1">
        <f>SUM(E506:E510)</f>
        <v>1</v>
      </c>
    </row>
    <row r="512" spans="7:8" ht="12.75">
      <c r="G512" s="22">
        <v>307</v>
      </c>
      <c r="H512" s="22"/>
    </row>
    <row r="513" spans="1:8" ht="12.75">
      <c r="A513" s="22">
        <v>292</v>
      </c>
      <c r="B513" s="22"/>
      <c r="D513" s="22">
        <v>300</v>
      </c>
      <c r="E513" s="22"/>
      <c r="G513" t="s">
        <v>3</v>
      </c>
      <c r="H513" s="4">
        <f>275/320.2</f>
        <v>0.8588382261086821</v>
      </c>
    </row>
    <row r="514" spans="1:8" ht="12.75">
      <c r="A514" t="s">
        <v>3</v>
      </c>
      <c r="B514" s="4">
        <f>275/350</f>
        <v>0.7857142857142857</v>
      </c>
      <c r="D514" t="s">
        <v>3</v>
      </c>
      <c r="E514" s="4">
        <f>275/320</f>
        <v>0.859375</v>
      </c>
      <c r="G514" t="s">
        <v>10</v>
      </c>
      <c r="H514" s="4">
        <f>40/320.2</f>
        <v>0.12492192379762648</v>
      </c>
    </row>
    <row r="515" spans="1:8" ht="12.75">
      <c r="A515" t="s">
        <v>1</v>
      </c>
      <c r="B515" s="4">
        <f>68/350</f>
        <v>0.19428571428571428</v>
      </c>
      <c r="D515" t="s">
        <v>10</v>
      </c>
      <c r="E515" s="4">
        <f>40/320</f>
        <v>0.125</v>
      </c>
      <c r="G515" t="s">
        <v>1</v>
      </c>
      <c r="H515" s="4">
        <f>3/320.2</f>
        <v>0.009369144284821987</v>
      </c>
    </row>
    <row r="516" spans="1:8" ht="12.75">
      <c r="A516" t="s">
        <v>75</v>
      </c>
      <c r="B516" s="4">
        <f>5/350</f>
        <v>0.014285714285714285</v>
      </c>
      <c r="D516" t="s">
        <v>24</v>
      </c>
      <c r="E516" s="4">
        <f>3/320</f>
        <v>0.009375</v>
      </c>
      <c r="G516" t="s">
        <v>24</v>
      </c>
      <c r="H516" s="4">
        <f>1.6/320.2</f>
        <v>0.00499687695190506</v>
      </c>
    </row>
    <row r="517" spans="1:8" ht="13.5" thickBot="1">
      <c r="A517" t="s">
        <v>24</v>
      </c>
      <c r="B517" s="3">
        <f>2/350</f>
        <v>0.005714285714285714</v>
      </c>
      <c r="D517" t="s">
        <v>1</v>
      </c>
      <c r="E517" s="3">
        <f>2/320</f>
        <v>0.00625</v>
      </c>
      <c r="G517" t="s">
        <v>5</v>
      </c>
      <c r="H517" s="3">
        <f>0.6/320.2</f>
        <v>0.0018738288569643974</v>
      </c>
    </row>
    <row r="518" spans="2:8" ht="12.75">
      <c r="B518" s="1">
        <f>SUM(B514:B517)</f>
        <v>0.9999999999999999</v>
      </c>
      <c r="E518" s="1">
        <f>SUM(E514:E517)</f>
        <v>1</v>
      </c>
      <c r="H518" s="1">
        <f>SUM(H513:H517)</f>
        <v>1</v>
      </c>
    </row>
    <row r="520" spans="1:8" ht="12.75">
      <c r="A520" s="22">
        <v>293</v>
      </c>
      <c r="B520" s="22"/>
      <c r="D520" s="22">
        <v>301</v>
      </c>
      <c r="E520" s="22"/>
      <c r="G520" s="22">
        <v>308</v>
      </c>
      <c r="H520" s="22"/>
    </row>
    <row r="521" spans="1:8" ht="12.75">
      <c r="A521" t="s">
        <v>3</v>
      </c>
      <c r="B521" s="4">
        <f>275/322</f>
        <v>0.8540372670807453</v>
      </c>
      <c r="D521" t="s">
        <v>3</v>
      </c>
      <c r="E521" s="4">
        <f>275/330.2</f>
        <v>0.8328285887341006</v>
      </c>
      <c r="G521" t="s">
        <v>3</v>
      </c>
      <c r="H521" s="4">
        <f>275/314</f>
        <v>0.8757961783439491</v>
      </c>
    </row>
    <row r="522" spans="1:8" ht="12.75">
      <c r="A522" t="s">
        <v>10</v>
      </c>
      <c r="B522" s="4">
        <f>32/322</f>
        <v>0.09937888198757763</v>
      </c>
      <c r="D522" t="s">
        <v>24</v>
      </c>
      <c r="E522" s="4">
        <f>38/330.2</f>
        <v>0.11508176862507571</v>
      </c>
      <c r="G522" t="s">
        <v>24</v>
      </c>
      <c r="H522" s="4">
        <f>21/314</f>
        <v>0.06687898089171974</v>
      </c>
    </row>
    <row r="523" spans="1:8" ht="12.75">
      <c r="A523" t="s">
        <v>75</v>
      </c>
      <c r="B523" s="4">
        <f>7/322</f>
        <v>0.021739130434782608</v>
      </c>
      <c r="D523" t="s">
        <v>1</v>
      </c>
      <c r="E523" s="4">
        <f>16/330.2</f>
        <v>0.04845548152634767</v>
      </c>
      <c r="G523" t="s">
        <v>1</v>
      </c>
      <c r="H523" s="4">
        <f>12/314</f>
        <v>0.03821656050955414</v>
      </c>
    </row>
    <row r="524" spans="1:8" ht="13.5" thickBot="1">
      <c r="A524" t="s">
        <v>24</v>
      </c>
      <c r="B524" s="4">
        <f>5/322</f>
        <v>0.015527950310559006</v>
      </c>
      <c r="D524" t="s">
        <v>19</v>
      </c>
      <c r="E524" s="3">
        <f>1.2/330.2</f>
        <v>0.0036341611144760752</v>
      </c>
      <c r="G524" t="s">
        <v>19</v>
      </c>
      <c r="H524" s="3">
        <f>6/314</f>
        <v>0.01910828025477707</v>
      </c>
    </row>
    <row r="525" spans="1:8" ht="13.5" thickBot="1">
      <c r="A525" t="s">
        <v>1</v>
      </c>
      <c r="B525" s="3">
        <f>3/322</f>
        <v>0.009316770186335404</v>
      </c>
      <c r="E525" s="1">
        <f>SUM(E521:E524)</f>
        <v>1</v>
      </c>
      <c r="H525" s="1">
        <f>SUM(H521:H524)</f>
        <v>1</v>
      </c>
    </row>
    <row r="526" ht="12.75">
      <c r="B526" s="1">
        <f>SUM(B521:B525)</f>
        <v>0.9999999999999999</v>
      </c>
    </row>
    <row r="527" spans="4:8" ht="12.75">
      <c r="D527" s="22">
        <v>302</v>
      </c>
      <c r="E527" s="22"/>
      <c r="G527" s="22">
        <v>309</v>
      </c>
      <c r="H527" s="22"/>
    </row>
    <row r="528" spans="1:8" ht="12.75">
      <c r="A528" s="22">
        <v>294</v>
      </c>
      <c r="B528" s="22"/>
      <c r="D528" t="s">
        <v>3</v>
      </c>
      <c r="E528" s="4">
        <f>275/315</f>
        <v>0.873015873015873</v>
      </c>
      <c r="G528" t="s">
        <v>3</v>
      </c>
      <c r="H528" s="4">
        <f>275/308.4</f>
        <v>0.8916990920881972</v>
      </c>
    </row>
    <row r="529" spans="1:8" ht="12.75">
      <c r="A529" t="s">
        <v>3</v>
      </c>
      <c r="B529" s="4">
        <f>275/327</f>
        <v>0.8409785932721713</v>
      </c>
      <c r="D529" t="s">
        <v>24</v>
      </c>
      <c r="E529" s="4">
        <f>30/315</f>
        <v>0.09523809523809523</v>
      </c>
      <c r="G529" t="s">
        <v>24</v>
      </c>
      <c r="H529" s="4">
        <f>18/308.4</f>
        <v>0.05836575875486382</v>
      </c>
    </row>
    <row r="530" spans="1:8" ht="12.75">
      <c r="A530" t="s">
        <v>24</v>
      </c>
      <c r="B530" s="4">
        <f>46/327</f>
        <v>0.14067278287461774</v>
      </c>
      <c r="D530" t="s">
        <v>19</v>
      </c>
      <c r="E530" s="4">
        <f>6/315</f>
        <v>0.01904761904761905</v>
      </c>
      <c r="G530" t="s">
        <v>19</v>
      </c>
      <c r="H530" s="4">
        <f>12/308.4</f>
        <v>0.038910505836575876</v>
      </c>
    </row>
    <row r="531" spans="1:8" ht="13.5" thickBot="1">
      <c r="A531" t="s">
        <v>1</v>
      </c>
      <c r="B531" s="3">
        <f>6/327</f>
        <v>0.01834862385321101</v>
      </c>
      <c r="D531" t="s">
        <v>1</v>
      </c>
      <c r="E531" s="3">
        <f>4/315</f>
        <v>0.012698412698412698</v>
      </c>
      <c r="G531" t="s">
        <v>1</v>
      </c>
      <c r="H531" s="4">
        <f>3/308.4</f>
        <v>0.009727626459143969</v>
      </c>
    </row>
    <row r="532" spans="2:8" ht="13.5" thickBot="1">
      <c r="B532" s="1">
        <f>SUM(B529:B531)</f>
        <v>1</v>
      </c>
      <c r="E532" s="1">
        <f>SUM(E528:E531)</f>
        <v>1</v>
      </c>
      <c r="G532" t="s">
        <v>6</v>
      </c>
      <c r="H532" s="3">
        <f>0.4/308.4</f>
        <v>0.001297016861219196</v>
      </c>
    </row>
    <row r="533" ht="12.75">
      <c r="H533" s="1">
        <f>SUM(H528:H532)</f>
        <v>1</v>
      </c>
    </row>
    <row r="534" spans="1:5" ht="12.75">
      <c r="A534" s="22">
        <v>295</v>
      </c>
      <c r="B534" s="22"/>
      <c r="D534" s="22">
        <v>303</v>
      </c>
      <c r="E534" s="22"/>
    </row>
    <row r="535" spans="1:8" ht="12.75">
      <c r="A535" t="s">
        <v>3</v>
      </c>
      <c r="B535" s="4">
        <f>275/319.3</f>
        <v>0.8612590040714062</v>
      </c>
      <c r="D535" t="s">
        <v>3</v>
      </c>
      <c r="E535" s="4">
        <f>275/307.2</f>
        <v>0.8951822916666667</v>
      </c>
      <c r="G535" s="22">
        <v>310</v>
      </c>
      <c r="H535" s="22"/>
    </row>
    <row r="536" spans="1:8" ht="12.75">
      <c r="A536" t="s">
        <v>24</v>
      </c>
      <c r="B536" s="4">
        <f>40/319.3</f>
        <v>0.12527403695584088</v>
      </c>
      <c r="D536" t="s">
        <v>24</v>
      </c>
      <c r="E536" s="4">
        <f>21/307.2</f>
        <v>0.068359375</v>
      </c>
      <c r="G536" t="s">
        <v>3</v>
      </c>
      <c r="H536" s="4">
        <f>275/370.6</f>
        <v>0.7420399352401511</v>
      </c>
    </row>
    <row r="537" spans="1:8" ht="12.75">
      <c r="A537" t="s">
        <v>1</v>
      </c>
      <c r="B537" s="4">
        <f>4/319.3</f>
        <v>0.01252740369558409</v>
      </c>
      <c r="D537" t="s">
        <v>19</v>
      </c>
      <c r="E537" s="4">
        <f>8/307.2</f>
        <v>0.026041666666666668</v>
      </c>
      <c r="G537" t="s">
        <v>1</v>
      </c>
      <c r="H537" s="4">
        <f>90/370.6</f>
        <v>0.24284943335132217</v>
      </c>
    </row>
    <row r="538" spans="1:8" ht="13.5" thickBot="1">
      <c r="A538" t="s">
        <v>6</v>
      </c>
      <c r="B538" s="3">
        <f>0.3/319.3</f>
        <v>0.0009395552771688067</v>
      </c>
      <c r="D538" t="s">
        <v>1</v>
      </c>
      <c r="E538" s="4">
        <f>3/307.2</f>
        <v>0.009765625</v>
      </c>
      <c r="G538" t="s">
        <v>5</v>
      </c>
      <c r="H538" s="4">
        <f>3/370.6</f>
        <v>0.008094981111710739</v>
      </c>
    </row>
    <row r="539" spans="2:8" ht="13.5" thickBot="1">
      <c r="B539" s="1">
        <f>SUM(B535:B538)</f>
        <v>1</v>
      </c>
      <c r="D539" t="s">
        <v>6</v>
      </c>
      <c r="E539" s="3">
        <f>0.2/307.2</f>
        <v>0.0006510416666666667</v>
      </c>
      <c r="G539" t="s">
        <v>24</v>
      </c>
      <c r="H539" s="3">
        <f>2.6/370.6</f>
        <v>0.007015650296815974</v>
      </c>
    </row>
    <row r="540" spans="5:8" ht="12.75">
      <c r="E540" s="1">
        <f>SUM(E535:E539)</f>
        <v>1</v>
      </c>
      <c r="H540" s="1">
        <f>SUM(H536:H539)</f>
        <v>0.9999999999999999</v>
      </c>
    </row>
    <row r="541" spans="1:2" ht="12.75">
      <c r="A541" s="22">
        <v>296</v>
      </c>
      <c r="B541" s="22"/>
    </row>
    <row r="542" spans="1:8" ht="12.75">
      <c r="A542" t="s">
        <v>3</v>
      </c>
      <c r="B542" s="4">
        <f>275/325.8</f>
        <v>0.8440761203192142</v>
      </c>
      <c r="D542" s="22">
        <v>304</v>
      </c>
      <c r="E542" s="22"/>
      <c r="G542" s="22">
        <v>311</v>
      </c>
      <c r="H542" s="22"/>
    </row>
    <row r="543" spans="1:8" ht="12.75">
      <c r="A543" t="s">
        <v>24</v>
      </c>
      <c r="B543" s="4">
        <f>44.4/325.8</f>
        <v>0.13627992633517494</v>
      </c>
      <c r="D543" t="s">
        <v>3</v>
      </c>
      <c r="E543" s="4">
        <f>275/377</f>
        <v>0.7294429708222812</v>
      </c>
      <c r="G543" t="s">
        <v>3</v>
      </c>
      <c r="H543" s="4">
        <f>275/361.8</f>
        <v>0.7600884466556108</v>
      </c>
    </row>
    <row r="544" spans="1:8" ht="12.75">
      <c r="A544" t="s">
        <v>1</v>
      </c>
      <c r="B544" s="4">
        <f>3/325.8</f>
        <v>0.009208103130755063</v>
      </c>
      <c r="D544" t="s">
        <v>1</v>
      </c>
      <c r="E544" s="4">
        <f>99/377</f>
        <v>0.2625994694960212</v>
      </c>
      <c r="G544" t="s">
        <v>1</v>
      </c>
      <c r="H544" s="4">
        <f>80/361.8</f>
        <v>0.22111663902708678</v>
      </c>
    </row>
    <row r="545" spans="1:8" ht="12.75">
      <c r="A545" t="s">
        <v>19</v>
      </c>
      <c r="B545" s="4">
        <f>2/325.8</f>
        <v>0.006138735420503376</v>
      </c>
      <c r="D545" t="s">
        <v>5</v>
      </c>
      <c r="E545" s="4">
        <f>1.8/377</f>
        <v>0.004774535809018568</v>
      </c>
      <c r="G545" t="s">
        <v>24</v>
      </c>
      <c r="H545" s="4">
        <f>4/361.8</f>
        <v>0.01105583195135434</v>
      </c>
    </row>
    <row r="546" spans="1:8" ht="13.5" thickBot="1">
      <c r="A546" t="s">
        <v>6</v>
      </c>
      <c r="B546" s="3">
        <f>1.4/325.8</f>
        <v>0.004297114794352363</v>
      </c>
      <c r="D546" t="s">
        <v>24</v>
      </c>
      <c r="E546" s="3">
        <f>1.2/377</f>
        <v>0.003183023872679045</v>
      </c>
      <c r="G546" t="s">
        <v>5</v>
      </c>
      <c r="H546" s="3">
        <f>2.8/361.8</f>
        <v>0.007739082365948037</v>
      </c>
    </row>
    <row r="547" spans="2:8" ht="12.75">
      <c r="B547" s="1">
        <f>SUM(B542:B546)</f>
        <v>0.9999999999999999</v>
      </c>
      <c r="E547" s="1">
        <f>SUM(E543:E546)</f>
        <v>0.9999999999999999</v>
      </c>
      <c r="H547" s="1">
        <f>SUM(H543:H546)</f>
        <v>0.9999999999999999</v>
      </c>
    </row>
    <row r="549" spans="1:8" ht="12.75">
      <c r="A549" s="22">
        <v>297</v>
      </c>
      <c r="B549" s="22"/>
      <c r="D549" s="22">
        <v>305</v>
      </c>
      <c r="E549" s="22"/>
      <c r="G549" s="22">
        <v>312</v>
      </c>
      <c r="H549" s="22"/>
    </row>
    <row r="550" spans="1:8" ht="12.75">
      <c r="A550" t="s">
        <v>3</v>
      </c>
      <c r="B550" s="4">
        <f>275/372.3</f>
        <v>0.7386516250335751</v>
      </c>
      <c r="D550" t="s">
        <v>3</v>
      </c>
      <c r="E550" s="4">
        <f>275/357.2</f>
        <v>0.7698768197088466</v>
      </c>
      <c r="G550" t="s">
        <v>3</v>
      </c>
      <c r="H550" s="4">
        <f>275/303.5</f>
        <v>0.9060955518945635</v>
      </c>
    </row>
    <row r="551" spans="1:8" ht="12.75">
      <c r="A551" t="s">
        <v>1</v>
      </c>
      <c r="B551" s="4">
        <f>95/372.3</f>
        <v>0.255170561375235</v>
      </c>
      <c r="D551" t="s">
        <v>1</v>
      </c>
      <c r="E551" s="4">
        <f>80/357.2</f>
        <v>0.22396416573348266</v>
      </c>
      <c r="G551" t="s">
        <v>10</v>
      </c>
      <c r="H551" s="4">
        <f>23/303.5</f>
        <v>0.0757825370675453</v>
      </c>
    </row>
    <row r="552" spans="1:8" ht="12.75">
      <c r="A552" t="s">
        <v>24</v>
      </c>
      <c r="B552" s="4">
        <f>2.2/372.3</f>
        <v>0.005909213000268601</v>
      </c>
      <c r="D552" t="s">
        <v>24</v>
      </c>
      <c r="E552" s="4">
        <f>1.8/357.2</f>
        <v>0.005039193729003359</v>
      </c>
      <c r="G552" t="s">
        <v>1</v>
      </c>
      <c r="H552" s="4">
        <f>4.6/303.5</f>
        <v>0.01515650741350906</v>
      </c>
    </row>
    <row r="553" spans="1:8" ht="13.5" thickBot="1">
      <c r="A553" t="s">
        <v>6</v>
      </c>
      <c r="B553" s="3">
        <f>0.1/372.3</f>
        <v>0.00026860059092130003</v>
      </c>
      <c r="D553" t="s">
        <v>19</v>
      </c>
      <c r="E553" s="3">
        <f>0.4/357.2</f>
        <v>0.0011198208286674132</v>
      </c>
      <c r="G553" t="s">
        <v>5</v>
      </c>
      <c r="H553" s="3">
        <f>0.9/303.5</f>
        <v>0.0029654036243822075</v>
      </c>
    </row>
    <row r="554" spans="2:8" ht="12.75">
      <c r="B554" s="1">
        <f>SUM(B550:B553)</f>
        <v>1</v>
      </c>
      <c r="E554" s="1">
        <f>SUM(E550:E553)</f>
        <v>1</v>
      </c>
      <c r="H554" s="1">
        <f>SUM(H550:H553)</f>
        <v>1</v>
      </c>
    </row>
    <row r="556" spans="1:8" ht="12.75">
      <c r="A556" s="22">
        <v>298</v>
      </c>
      <c r="B556" s="22"/>
      <c r="D556" s="22">
        <v>306</v>
      </c>
      <c r="E556" s="22"/>
      <c r="G556" s="22">
        <v>313</v>
      </c>
      <c r="H556" s="22"/>
    </row>
    <row r="557" spans="1:8" ht="12.75">
      <c r="A557" t="s">
        <v>3</v>
      </c>
      <c r="B557" s="4">
        <f>275/370</f>
        <v>0.7432432432432432</v>
      </c>
      <c r="D557" t="s">
        <v>3</v>
      </c>
      <c r="E557" s="4">
        <f>275/304.6</f>
        <v>0.9028233749179251</v>
      </c>
      <c r="G557" t="s">
        <v>3</v>
      </c>
      <c r="H557" s="4">
        <f>275/320.6</f>
        <v>0.8577666874610106</v>
      </c>
    </row>
    <row r="558" spans="1:8" ht="12.75">
      <c r="A558" t="s">
        <v>1</v>
      </c>
      <c r="B558" s="4">
        <f>90/370</f>
        <v>0.24324324324324326</v>
      </c>
      <c r="D558" t="s">
        <v>10</v>
      </c>
      <c r="E558" s="4">
        <f>20.9/304.6</f>
        <v>0.0686145764937623</v>
      </c>
      <c r="G558" t="s">
        <v>10</v>
      </c>
      <c r="H558" s="4">
        <f>38/320.6</f>
        <v>0.11852776044915782</v>
      </c>
    </row>
    <row r="559" spans="1:8" ht="13.5" thickBot="1">
      <c r="A559" t="s">
        <v>24</v>
      </c>
      <c r="B559" s="3">
        <f>5/370</f>
        <v>0.013513513513513514</v>
      </c>
      <c r="D559" t="s">
        <v>1</v>
      </c>
      <c r="E559" s="4">
        <f>8/304.6</f>
        <v>0.026263952724885093</v>
      </c>
      <c r="G559" t="s">
        <v>1</v>
      </c>
      <c r="H559" s="4">
        <f>5/320.6</f>
        <v>0.015595757953836555</v>
      </c>
    </row>
    <row r="560" spans="2:8" ht="13.5" thickBot="1">
      <c r="B560" s="1">
        <f>SUM(B557:B559)</f>
        <v>0.9999999999999999</v>
      </c>
      <c r="D560" t="s">
        <v>5</v>
      </c>
      <c r="E560" s="3">
        <f>0.7/304.6</f>
        <v>0.0022980958634274454</v>
      </c>
      <c r="G560" t="s">
        <v>5</v>
      </c>
      <c r="H560" s="4">
        <f>1.6/320.6</f>
        <v>0.004990642545227698</v>
      </c>
    </row>
    <row r="561" spans="5:8" ht="13.5" thickBot="1">
      <c r="E561" s="1">
        <f>SUM(E557:E560)</f>
        <v>1</v>
      </c>
      <c r="G561" t="s">
        <v>24</v>
      </c>
      <c r="H561" s="3">
        <f>1/320.6</f>
        <v>0.003119151590767311</v>
      </c>
    </row>
    <row r="562" ht="12.75">
      <c r="H562" s="1">
        <f>SUM(H557:H561)</f>
        <v>1</v>
      </c>
    </row>
    <row r="567" spans="1:8" ht="12.75">
      <c r="A567" s="22">
        <v>314</v>
      </c>
      <c r="B567" s="22"/>
      <c r="D567" s="22">
        <v>322</v>
      </c>
      <c r="E567" s="22"/>
      <c r="G567" s="22">
        <v>330</v>
      </c>
      <c r="H567" s="22"/>
    </row>
    <row r="568" spans="1:8" ht="12.75">
      <c r="A568" t="s">
        <v>3</v>
      </c>
      <c r="B568" s="4">
        <f>275/318.4</f>
        <v>0.8636934673366835</v>
      </c>
      <c r="D568" t="s">
        <v>3</v>
      </c>
      <c r="E568" s="4">
        <f>275/362</f>
        <v>0.7596685082872928</v>
      </c>
      <c r="G568" t="s">
        <v>3</v>
      </c>
      <c r="H568" s="4">
        <f>275/300.2</f>
        <v>0.916055962691539</v>
      </c>
    </row>
    <row r="569" spans="1:8" ht="12.75">
      <c r="A569" t="s">
        <v>10</v>
      </c>
      <c r="B569" s="4">
        <f>36/318.4</f>
        <v>0.11306532663316583</v>
      </c>
      <c r="D569" t="s">
        <v>5</v>
      </c>
      <c r="E569" s="4">
        <f>38/362</f>
        <v>0.10497237569060773</v>
      </c>
      <c r="G569" t="s">
        <v>19</v>
      </c>
      <c r="H569" s="4">
        <f>18/300.2</f>
        <v>0.05996002664890074</v>
      </c>
    </row>
    <row r="570" spans="1:8" ht="12.75">
      <c r="A570" t="s">
        <v>1</v>
      </c>
      <c r="B570" s="4">
        <f>3/318.4</f>
        <v>0.00942211055276382</v>
      </c>
      <c r="D570" t="s">
        <v>24</v>
      </c>
      <c r="E570" s="4">
        <f>33/362</f>
        <v>0.09116022099447514</v>
      </c>
      <c r="G570" t="s">
        <v>1</v>
      </c>
      <c r="H570" s="4">
        <f>6/300.2</f>
        <v>0.019986675549633577</v>
      </c>
    </row>
    <row r="571" spans="1:8" ht="13.5" thickBot="1">
      <c r="A571" t="s">
        <v>24</v>
      </c>
      <c r="B571" s="4">
        <f>2.4/318.4</f>
        <v>0.007537688442211056</v>
      </c>
      <c r="D571" t="s">
        <v>1</v>
      </c>
      <c r="E571" s="3">
        <f>16/362</f>
        <v>0.04419889502762431</v>
      </c>
      <c r="G571" t="s">
        <v>6</v>
      </c>
      <c r="H571" s="3">
        <f>1.2/300.2</f>
        <v>0.003997335109926716</v>
      </c>
    </row>
    <row r="572" spans="1:8" ht="13.5" thickBot="1">
      <c r="A572" t="s">
        <v>5</v>
      </c>
      <c r="B572" s="3">
        <f>2/318.4</f>
        <v>0.00628140703517588</v>
      </c>
      <c r="E572" s="1">
        <f>SUM(E568:E571)</f>
        <v>1</v>
      </c>
      <c r="H572" s="1">
        <f>SUM(H568:H571)</f>
        <v>1</v>
      </c>
    </row>
    <row r="573" ht="12.75">
      <c r="B573" s="1">
        <f>SUM(B568:B572)</f>
        <v>1.0000000000000002</v>
      </c>
    </row>
    <row r="574" spans="4:8" ht="12.75">
      <c r="D574" s="22">
        <v>323</v>
      </c>
      <c r="E574" s="22"/>
      <c r="G574" s="22">
        <v>331</v>
      </c>
      <c r="H574" s="22"/>
    </row>
    <row r="575" spans="1:8" ht="12.75">
      <c r="A575" s="22">
        <v>315</v>
      </c>
      <c r="B575" s="22"/>
      <c r="D575" t="s">
        <v>3</v>
      </c>
      <c r="E575" s="4">
        <f>275/312.4</f>
        <v>0.8802816901408451</v>
      </c>
      <c r="G575" t="s">
        <v>3</v>
      </c>
      <c r="H575" s="4">
        <f>275/367.8</f>
        <v>0.7476889613920609</v>
      </c>
    </row>
    <row r="576" spans="1:8" ht="12.75">
      <c r="A576" t="s">
        <v>3</v>
      </c>
      <c r="B576" s="4">
        <f>275/315</f>
        <v>0.873015873015873</v>
      </c>
      <c r="D576" t="s">
        <v>24</v>
      </c>
      <c r="E576" s="4">
        <f>13.6/312.4</f>
        <v>0.04353393085787452</v>
      </c>
      <c r="G576" t="s">
        <v>1</v>
      </c>
      <c r="H576" s="4">
        <f>90/367.8</f>
        <v>0.24469820554649266</v>
      </c>
    </row>
    <row r="577" spans="1:8" ht="12.75">
      <c r="A577" t="s">
        <v>24</v>
      </c>
      <c r="B577" s="4">
        <f>20/315</f>
        <v>0.06349206349206349</v>
      </c>
      <c r="D577" t="s">
        <v>19</v>
      </c>
      <c r="E577" s="4">
        <f>12.4/312.4</f>
        <v>0.039692701664532655</v>
      </c>
      <c r="G577" t="s">
        <v>5</v>
      </c>
      <c r="H577" s="4">
        <f>2.4/367.8</f>
        <v>0.006525285481239804</v>
      </c>
    </row>
    <row r="578" spans="1:8" ht="13.5" thickBot="1">
      <c r="A578" t="s">
        <v>1</v>
      </c>
      <c r="B578" s="4">
        <f>10/315</f>
        <v>0.031746031746031744</v>
      </c>
      <c r="D578" t="s">
        <v>5</v>
      </c>
      <c r="E578" s="4">
        <f>6.4/312.4</f>
        <v>0.020486555697823306</v>
      </c>
      <c r="G578" t="s">
        <v>24</v>
      </c>
      <c r="H578" s="3">
        <f>0.4/367.8</f>
        <v>0.0010875475802066342</v>
      </c>
    </row>
    <row r="579" spans="1:8" ht="13.5" thickBot="1">
      <c r="A579" t="s">
        <v>5</v>
      </c>
      <c r="B579" s="3">
        <f>10/315</f>
        <v>0.031746031746031744</v>
      </c>
      <c r="D579" t="s">
        <v>1</v>
      </c>
      <c r="E579" s="3">
        <f>5/312.4</f>
        <v>0.016005121638924456</v>
      </c>
      <c r="H579" s="1">
        <f>SUM(H575:H578)</f>
        <v>1</v>
      </c>
    </row>
    <row r="580" spans="2:5" ht="12.75">
      <c r="B580" s="1">
        <f>SUM(B576:B579)</f>
        <v>1</v>
      </c>
      <c r="E580" s="1">
        <f>SUM(E575:E579)</f>
        <v>1</v>
      </c>
    </row>
    <row r="581" spans="7:8" ht="12.75">
      <c r="G581" s="22">
        <v>332</v>
      </c>
      <c r="H581" s="22"/>
    </row>
    <row r="582" spans="1:8" ht="12.75">
      <c r="A582" s="22">
        <v>316</v>
      </c>
      <c r="B582" s="22"/>
      <c r="D582" s="22">
        <v>324</v>
      </c>
      <c r="E582" s="22"/>
      <c r="G582" t="s">
        <v>3</v>
      </c>
      <c r="H582" s="4">
        <f>275/365</f>
        <v>0.7534246575342466</v>
      </c>
    </row>
    <row r="583" spans="1:8" ht="12.75">
      <c r="A583" t="s">
        <v>3</v>
      </c>
      <c r="B583" s="4">
        <f>275/308</f>
        <v>0.8928571428571429</v>
      </c>
      <c r="D583" t="s">
        <v>3</v>
      </c>
      <c r="E583" s="4">
        <f>275/364.6</f>
        <v>0.7542512342292923</v>
      </c>
      <c r="G583" t="s">
        <v>1</v>
      </c>
      <c r="H583" s="4">
        <f>86/365</f>
        <v>0.2356164383561644</v>
      </c>
    </row>
    <row r="584" spans="1:8" ht="12.75">
      <c r="A584" t="s">
        <v>19</v>
      </c>
      <c r="B584" s="4">
        <f>16/308</f>
        <v>0.05194805194805195</v>
      </c>
      <c r="D584" t="s">
        <v>1</v>
      </c>
      <c r="E584" s="4">
        <f>80/364.6</f>
        <v>0.21941854086670323</v>
      </c>
      <c r="G584" t="s">
        <v>5</v>
      </c>
      <c r="H584" s="4">
        <f>2/365</f>
        <v>0.005479452054794521</v>
      </c>
    </row>
    <row r="585" spans="1:8" ht="12.75">
      <c r="A585" t="s">
        <v>24</v>
      </c>
      <c r="B585" s="4">
        <f>14/308</f>
        <v>0.045454545454545456</v>
      </c>
      <c r="D585" t="s">
        <v>10</v>
      </c>
      <c r="E585" s="4">
        <f>8/364.6</f>
        <v>0.021941854086670324</v>
      </c>
      <c r="G585" t="s">
        <v>10</v>
      </c>
      <c r="H585" s="4">
        <f>1/365</f>
        <v>0.0027397260273972603</v>
      </c>
    </row>
    <row r="586" spans="1:8" ht="13.5" thickBot="1">
      <c r="A586" t="s">
        <v>1</v>
      </c>
      <c r="B586" s="3">
        <f>3/308</f>
        <v>0.00974025974025974</v>
      </c>
      <c r="D586" t="s">
        <v>5</v>
      </c>
      <c r="E586" s="3">
        <f>1.6/364.6</f>
        <v>0.004388370817334065</v>
      </c>
      <c r="G586" t="s">
        <v>19</v>
      </c>
      <c r="H586" s="3">
        <f>1/365</f>
        <v>0.0027397260273972603</v>
      </c>
    </row>
    <row r="587" spans="2:8" ht="12.75">
      <c r="B587" s="1">
        <f>SUM(B583:B586)</f>
        <v>1</v>
      </c>
      <c r="E587" s="1">
        <f>SUM(E583:E586)</f>
        <v>1</v>
      </c>
      <c r="H587" s="1">
        <f>SUM(H582:H586)</f>
        <v>1</v>
      </c>
    </row>
    <row r="589" spans="1:8" ht="12.75">
      <c r="A589" s="22">
        <v>317</v>
      </c>
      <c r="B589" s="22"/>
      <c r="D589" s="22">
        <v>325</v>
      </c>
      <c r="E589" s="22"/>
      <c r="G589" s="22">
        <v>333</v>
      </c>
      <c r="H589" s="22"/>
    </row>
    <row r="590" spans="1:8" ht="12.75">
      <c r="A590" t="s">
        <v>3</v>
      </c>
      <c r="B590" s="4">
        <f>275/332.8</f>
        <v>0.8263221153846153</v>
      </c>
      <c r="D590" t="s">
        <v>3</v>
      </c>
      <c r="E590" s="4">
        <f>275/362.6</f>
        <v>0.7584114726971869</v>
      </c>
      <c r="G590" t="s">
        <v>3</v>
      </c>
      <c r="H590" s="4">
        <f>275/361.6</f>
        <v>0.7605088495575221</v>
      </c>
    </row>
    <row r="591" spans="1:8" ht="12.75">
      <c r="A591" t="s">
        <v>1</v>
      </c>
      <c r="B591" s="4">
        <f>56/332.8</f>
        <v>0.16826923076923075</v>
      </c>
      <c r="D591" t="s">
        <v>1</v>
      </c>
      <c r="E591" s="4">
        <f>82/362.6</f>
        <v>0.22614451185879755</v>
      </c>
      <c r="G591" t="s">
        <v>1</v>
      </c>
      <c r="H591" s="4">
        <f>80/361.6</f>
        <v>0.22123893805309733</v>
      </c>
    </row>
    <row r="592" spans="1:8" ht="12.75">
      <c r="A592" t="s">
        <v>75</v>
      </c>
      <c r="B592" s="4">
        <f>1/332.8</f>
        <v>0.003004807692307692</v>
      </c>
      <c r="D592" t="s">
        <v>19</v>
      </c>
      <c r="E592" s="4">
        <f>4.2/362.6</f>
        <v>0.011583011583011582</v>
      </c>
      <c r="G592" t="s">
        <v>5</v>
      </c>
      <c r="H592" s="4">
        <f>4.2/361.6</f>
        <v>0.01161504424778761</v>
      </c>
    </row>
    <row r="593" spans="1:8" ht="13.5" thickBot="1">
      <c r="A593" t="s">
        <v>5</v>
      </c>
      <c r="B593" s="4">
        <f>0.6/332.8</f>
        <v>0.0018028846153846153</v>
      </c>
      <c r="D593" t="s">
        <v>24</v>
      </c>
      <c r="E593" s="3">
        <f>1.4/362.6</f>
        <v>0.0038610038610038607</v>
      </c>
      <c r="G593" t="s">
        <v>19</v>
      </c>
      <c r="H593" s="3">
        <f>2.4/361.6</f>
        <v>0.006637168141592919</v>
      </c>
    </row>
    <row r="594" spans="1:8" ht="13.5" thickBot="1">
      <c r="A594" t="s">
        <v>19</v>
      </c>
      <c r="B594" s="3">
        <f>0.2/332.8</f>
        <v>0.0006009615384615385</v>
      </c>
      <c r="E594" s="1">
        <f>SUM(E590:E593)</f>
        <v>0.9999999999999999</v>
      </c>
      <c r="H594" s="1">
        <f>SUM(H590:H593)</f>
        <v>0.9999999999999999</v>
      </c>
    </row>
    <row r="595" ht="12.75">
      <c r="B595" s="1">
        <f>SUM(B590:B594)</f>
        <v>0.9999999999999999</v>
      </c>
    </row>
    <row r="596" spans="4:8" ht="12.75">
      <c r="D596" s="22">
        <v>326</v>
      </c>
      <c r="E596" s="22"/>
      <c r="G596" s="22">
        <v>334</v>
      </c>
      <c r="H596" s="22"/>
    </row>
    <row r="597" spans="1:8" ht="12.75">
      <c r="A597" s="22">
        <v>318</v>
      </c>
      <c r="B597" s="22"/>
      <c r="D597" t="s">
        <v>3</v>
      </c>
      <c r="E597" s="4">
        <f>275/337</f>
        <v>0.8160237388724035</v>
      </c>
      <c r="G597" t="s">
        <v>3</v>
      </c>
      <c r="H597" s="4">
        <f>275/317</f>
        <v>0.8675078864353313</v>
      </c>
    </row>
    <row r="598" spans="1:8" ht="12.75">
      <c r="A598" t="s">
        <v>3</v>
      </c>
      <c r="B598" s="4">
        <f>275/325.6</f>
        <v>0.8445945945945945</v>
      </c>
      <c r="D598" t="s">
        <v>1</v>
      </c>
      <c r="E598" s="4">
        <f>50/337</f>
        <v>0.14836795252225518</v>
      </c>
      <c r="G598" t="s">
        <v>5</v>
      </c>
      <c r="H598" s="4">
        <f>28/317</f>
        <v>0.08832807570977919</v>
      </c>
    </row>
    <row r="599" spans="1:8" ht="12.75">
      <c r="A599" t="s">
        <v>1</v>
      </c>
      <c r="B599" s="4">
        <f>50/325.6</f>
        <v>0.15356265356265356</v>
      </c>
      <c r="D599" t="s">
        <v>19</v>
      </c>
      <c r="E599" s="4">
        <f>8.8/337</f>
        <v>0.026112759643916916</v>
      </c>
      <c r="G599" t="s">
        <v>1</v>
      </c>
      <c r="H599" s="4">
        <f>8/317</f>
        <v>0.025236593059936908</v>
      </c>
    </row>
    <row r="600" spans="1:8" ht="13.5" thickBot="1">
      <c r="A600" t="s">
        <v>19</v>
      </c>
      <c r="B600" s="4">
        <f>0.4/325.6</f>
        <v>0.0012285012285012285</v>
      </c>
      <c r="D600" t="s">
        <v>24</v>
      </c>
      <c r="E600" s="3">
        <f>3.2/337</f>
        <v>0.009495548961424334</v>
      </c>
      <c r="G600" t="s">
        <v>24</v>
      </c>
      <c r="H600" s="3">
        <f>6/317</f>
        <v>0.01892744479495268</v>
      </c>
    </row>
    <row r="601" spans="1:8" ht="13.5" thickBot="1">
      <c r="A601" t="s">
        <v>24</v>
      </c>
      <c r="B601" s="3">
        <f>0.2/325.6</f>
        <v>0.0006142506142506142</v>
      </c>
      <c r="E601" s="1">
        <f>SUM(E597:E600)</f>
        <v>1</v>
      </c>
      <c r="H601" s="1">
        <f>SUM(H597:H600)</f>
        <v>1</v>
      </c>
    </row>
    <row r="602" ht="12.75">
      <c r="B602" s="1">
        <f>SUM(B598:B601)</f>
        <v>0.9999999999999999</v>
      </c>
    </row>
    <row r="603" spans="4:8" ht="12.75">
      <c r="D603" s="22">
        <v>327</v>
      </c>
      <c r="E603" s="22"/>
      <c r="G603" s="22">
        <v>335</v>
      </c>
      <c r="H603" s="22"/>
    </row>
    <row r="604" spans="1:8" ht="12.75">
      <c r="A604" s="22">
        <v>319</v>
      </c>
      <c r="B604" s="22"/>
      <c r="D604" t="s">
        <v>3</v>
      </c>
      <c r="E604" s="4">
        <f>275/309</f>
        <v>0.889967637540453</v>
      </c>
      <c r="G604" t="s">
        <v>3</v>
      </c>
      <c r="H604" s="4">
        <f>275/315.2</f>
        <v>0.8724619289340102</v>
      </c>
    </row>
    <row r="605" spans="1:8" ht="12.75">
      <c r="A605" t="s">
        <v>3</v>
      </c>
      <c r="B605" s="4">
        <f>275/375.4</f>
        <v>0.7325519445924348</v>
      </c>
      <c r="D605" t="s">
        <v>5</v>
      </c>
      <c r="E605" s="4">
        <f>16/309</f>
        <v>0.05177993527508091</v>
      </c>
      <c r="G605" t="s">
        <v>19</v>
      </c>
      <c r="H605" s="4">
        <f>23/315.2</f>
        <v>0.07296954314720812</v>
      </c>
    </row>
    <row r="606" spans="1:8" ht="12.75">
      <c r="A606" t="s">
        <v>1</v>
      </c>
      <c r="B606" s="4">
        <f>88/375.4</f>
        <v>0.23441662226957913</v>
      </c>
      <c r="D606" t="s">
        <v>24</v>
      </c>
      <c r="E606" s="4">
        <f>10/309</f>
        <v>0.032362459546925564</v>
      </c>
      <c r="G606" t="s">
        <v>1</v>
      </c>
      <c r="H606" s="4">
        <f>16/315.2</f>
        <v>0.050761421319796954</v>
      </c>
    </row>
    <row r="607" spans="1:8" ht="13.5" thickBot="1">
      <c r="A607" t="s">
        <v>5</v>
      </c>
      <c r="B607" s="4">
        <f>8/375.4</f>
        <v>0.021310602024507193</v>
      </c>
      <c r="D607" t="s">
        <v>1</v>
      </c>
      <c r="E607" s="3">
        <f>8/309</f>
        <v>0.025889967637540454</v>
      </c>
      <c r="G607" t="s">
        <v>2</v>
      </c>
      <c r="H607" s="3">
        <f>1.2/315.2</f>
        <v>0.0038071065989847717</v>
      </c>
    </row>
    <row r="608" spans="1:8" ht="13.5" thickBot="1">
      <c r="A608" t="s">
        <v>24</v>
      </c>
      <c r="B608" s="3">
        <f>4.4/375.4</f>
        <v>0.011720831113478958</v>
      </c>
      <c r="E608" s="1">
        <f>SUM(E604:E607)</f>
        <v>1</v>
      </c>
      <c r="H608" s="1">
        <f>SUM(H604:H607)</f>
        <v>1.0000000000000002</v>
      </c>
    </row>
    <row r="609" ht="12.75">
      <c r="B609" s="1">
        <f>SUM(B605:B608)</f>
        <v>1</v>
      </c>
    </row>
    <row r="610" spans="4:8" ht="12.75">
      <c r="D610" s="22">
        <v>328</v>
      </c>
      <c r="E610" s="22"/>
      <c r="G610" s="22">
        <v>336</v>
      </c>
      <c r="H610" s="22"/>
    </row>
    <row r="611" spans="1:8" ht="12.75">
      <c r="A611" s="22">
        <v>320</v>
      </c>
      <c r="B611" s="22"/>
      <c r="D611" t="s">
        <v>3</v>
      </c>
      <c r="E611" s="4">
        <f>275/299</f>
        <v>0.919732441471572</v>
      </c>
      <c r="G611" t="s">
        <v>3</v>
      </c>
      <c r="H611" s="4">
        <f>275/300.8</f>
        <v>0.9142287234042553</v>
      </c>
    </row>
    <row r="612" spans="1:8" ht="12.75">
      <c r="A612" t="s">
        <v>3</v>
      </c>
      <c r="B612" s="4">
        <f>275/321.4</f>
        <v>0.8556316116988177</v>
      </c>
      <c r="D612" t="s">
        <v>19</v>
      </c>
      <c r="E612" s="4">
        <f>10/299</f>
        <v>0.033444816053511704</v>
      </c>
      <c r="G612" t="s">
        <v>19</v>
      </c>
      <c r="H612" s="4">
        <f>17.8/300.8</f>
        <v>0.059175531914893616</v>
      </c>
    </row>
    <row r="613" spans="1:8" ht="12.75">
      <c r="A613" t="s">
        <v>10</v>
      </c>
      <c r="B613" s="4">
        <f>38/321.4</f>
        <v>0.11823273179838209</v>
      </c>
      <c r="D613" t="s">
        <v>1</v>
      </c>
      <c r="E613" s="4">
        <f>8/299</f>
        <v>0.026755852842809364</v>
      </c>
      <c r="G613" t="s">
        <v>1</v>
      </c>
      <c r="H613" s="4">
        <f>5/300.8</f>
        <v>0.016622340425531915</v>
      </c>
    </row>
    <row r="614" spans="1:8" ht="12.75">
      <c r="A614" t="s">
        <v>5</v>
      </c>
      <c r="B614" s="4">
        <f>4/321.4</f>
        <v>0.012445550715619168</v>
      </c>
      <c r="D614" t="s">
        <v>24</v>
      </c>
      <c r="E614" s="4">
        <f>5/299</f>
        <v>0.016722408026755852</v>
      </c>
      <c r="G614" t="s">
        <v>2</v>
      </c>
      <c r="H614" s="4">
        <f>2.6/300.8</f>
        <v>0.008643617021276596</v>
      </c>
    </row>
    <row r="615" spans="1:8" ht="13.5" thickBot="1">
      <c r="A615" t="s">
        <v>1</v>
      </c>
      <c r="B615" s="4">
        <f>4/321.4</f>
        <v>0.012445550715619168</v>
      </c>
      <c r="D615" t="s">
        <v>5</v>
      </c>
      <c r="E615" s="3">
        <f>1/299</f>
        <v>0.0033444816053511705</v>
      </c>
      <c r="G615" t="s">
        <v>6</v>
      </c>
      <c r="H615" s="3">
        <f>0.4/300.8</f>
        <v>0.0013297872340425532</v>
      </c>
    </row>
    <row r="616" spans="1:8" ht="13.5" thickBot="1">
      <c r="A616" t="s">
        <v>24</v>
      </c>
      <c r="B616" s="3">
        <f>0.4/321.4</f>
        <v>0.0012445550715619168</v>
      </c>
      <c r="E616" s="1">
        <f>SUM(E611:E615)</f>
        <v>1</v>
      </c>
      <c r="H616" s="1">
        <f>SUM(H611:H615)</f>
        <v>1</v>
      </c>
    </row>
    <row r="617" ht="12.75">
      <c r="B617" s="1">
        <f>SUM(B612:B616)</f>
        <v>1</v>
      </c>
    </row>
    <row r="618" spans="4:8" ht="12.75">
      <c r="D618" s="22">
        <v>329</v>
      </c>
      <c r="E618" s="22"/>
      <c r="G618" s="22">
        <v>337</v>
      </c>
      <c r="H618" s="22"/>
    </row>
    <row r="619" spans="1:8" ht="12.75">
      <c r="A619" s="22">
        <v>321</v>
      </c>
      <c r="B619" s="22"/>
      <c r="D619" t="s">
        <v>3</v>
      </c>
      <c r="E619" s="4">
        <f>275/341.2</f>
        <v>0.805978898007034</v>
      </c>
      <c r="G619" t="s">
        <v>3</v>
      </c>
      <c r="H619" s="4">
        <f>275/348.1</f>
        <v>0.790002872737719</v>
      </c>
    </row>
    <row r="620" spans="1:8" ht="12.75">
      <c r="A620" t="s">
        <v>3</v>
      </c>
      <c r="B620" s="4">
        <f>275/330</f>
        <v>0.8333333333333334</v>
      </c>
      <c r="D620" t="s">
        <v>5</v>
      </c>
      <c r="E620" s="4">
        <f>36/341.2</f>
        <v>0.10550996483001172</v>
      </c>
      <c r="G620" t="s">
        <v>1</v>
      </c>
      <c r="H620" s="4">
        <f>70/348.1</f>
        <v>0.20109164033323756</v>
      </c>
    </row>
    <row r="621" spans="1:8" ht="12.75">
      <c r="A621" t="s">
        <v>10</v>
      </c>
      <c r="B621" s="4">
        <f>30/330</f>
        <v>0.09090909090909091</v>
      </c>
      <c r="D621" t="s">
        <v>24</v>
      </c>
      <c r="E621" s="4">
        <f>23/341.2</f>
        <v>0.06740914419695193</v>
      </c>
      <c r="G621" t="s">
        <v>5</v>
      </c>
      <c r="H621" s="4">
        <f>2/348.1</f>
        <v>0.005745475438092501</v>
      </c>
    </row>
    <row r="622" spans="1:8" ht="13.5" thickBot="1">
      <c r="A622" t="s">
        <v>5</v>
      </c>
      <c r="B622" s="4">
        <f>9/330</f>
        <v>0.02727272727272727</v>
      </c>
      <c r="D622" t="s">
        <v>1</v>
      </c>
      <c r="E622" s="3">
        <f>7.2/341.2</f>
        <v>0.021101992966002348</v>
      </c>
      <c r="G622" t="s">
        <v>19</v>
      </c>
      <c r="H622" s="4">
        <f>1/348.1</f>
        <v>0.0028727377190462507</v>
      </c>
    </row>
    <row r="623" spans="1:8" ht="13.5" thickBot="1">
      <c r="A623" t="s">
        <v>1</v>
      </c>
      <c r="B623" s="4">
        <f>8/330</f>
        <v>0.024242424242424242</v>
      </c>
      <c r="E623" s="1">
        <f>SUM(E619:E622)</f>
        <v>1</v>
      </c>
      <c r="G623" t="s">
        <v>6</v>
      </c>
      <c r="H623" s="3">
        <f>0.1/348.1</f>
        <v>0.0002872737719046251</v>
      </c>
    </row>
    <row r="624" spans="1:8" ht="13.5" thickBot="1">
      <c r="A624" t="s">
        <v>24</v>
      </c>
      <c r="B624" s="3">
        <f>8/330</f>
        <v>0.024242424242424242</v>
      </c>
      <c r="H624" s="1">
        <f>SUM(H619:H623)</f>
        <v>0.9999999999999999</v>
      </c>
    </row>
    <row r="625" ht="12.75">
      <c r="B625" s="1">
        <f>SUM(B620:B624)</f>
        <v>1</v>
      </c>
    </row>
    <row r="627" spans="1:2" ht="12.75">
      <c r="A627" s="22"/>
      <c r="B627" s="22"/>
    </row>
    <row r="628" spans="1:2" ht="12.75">
      <c r="A628" s="9"/>
      <c r="B628" s="9"/>
    </row>
    <row r="629" spans="1:8" ht="12.75">
      <c r="A629" s="22">
        <v>338</v>
      </c>
      <c r="B629" s="22"/>
      <c r="D629" s="22">
        <v>346</v>
      </c>
      <c r="E629" s="22"/>
      <c r="G629" s="22">
        <v>354</v>
      </c>
      <c r="H629" s="22"/>
    </row>
    <row r="630" spans="1:8" ht="12.75">
      <c r="A630" t="s">
        <v>3</v>
      </c>
      <c r="B630" s="4">
        <f>275/337.7</f>
        <v>0.8143322475570033</v>
      </c>
      <c r="D630" t="s">
        <v>3</v>
      </c>
      <c r="E630" s="4">
        <f>275/337.3</f>
        <v>0.8152979543433145</v>
      </c>
      <c r="G630" t="s">
        <v>3</v>
      </c>
      <c r="H630" s="4">
        <f>275/322.4</f>
        <v>0.8529776674937966</v>
      </c>
    </row>
    <row r="631" spans="1:8" ht="12.75">
      <c r="A631" t="s">
        <v>1</v>
      </c>
      <c r="B631" s="4">
        <f>60/337.7</f>
        <v>0.17767249037607344</v>
      </c>
      <c r="D631" t="s">
        <v>1</v>
      </c>
      <c r="E631" s="4">
        <f>58/337.3</f>
        <v>0.17195375037058996</v>
      </c>
      <c r="G631" t="s">
        <v>5</v>
      </c>
      <c r="H631" s="4">
        <f>32/322.4</f>
        <v>0.09925558312655088</v>
      </c>
    </row>
    <row r="632" spans="1:8" ht="12.75">
      <c r="A632" t="s">
        <v>19</v>
      </c>
      <c r="B632" s="4">
        <f>1.6/337.7</f>
        <v>0.004737933076695292</v>
      </c>
      <c r="D632" t="s">
        <v>19</v>
      </c>
      <c r="E632" s="4">
        <f>3.2/337.3</f>
        <v>0.009487103468722205</v>
      </c>
      <c r="G632" t="s">
        <v>1</v>
      </c>
      <c r="H632" s="4">
        <f>8/322.4</f>
        <v>0.02481389578163772</v>
      </c>
    </row>
    <row r="633" spans="1:8" ht="12.75">
      <c r="A633" t="s">
        <v>5</v>
      </c>
      <c r="B633" s="4">
        <f>1/337.7</f>
        <v>0.002961208172934557</v>
      </c>
      <c r="D633" t="s">
        <v>2</v>
      </c>
      <c r="E633" s="4">
        <f>1/337.3</f>
        <v>0.002964719833975689</v>
      </c>
      <c r="G633" t="s">
        <v>19</v>
      </c>
      <c r="H633" s="4">
        <f>6/322.4</f>
        <v>0.01861042183622829</v>
      </c>
    </row>
    <row r="634" spans="1:8" ht="13.5" thickBot="1">
      <c r="A634" t="s">
        <v>6</v>
      </c>
      <c r="B634" s="3">
        <f>0.1/337.7</f>
        <v>0.00029612081729345576</v>
      </c>
      <c r="D634" t="s">
        <v>6</v>
      </c>
      <c r="E634" s="3">
        <f>0.1/337.3</f>
        <v>0.0002964719833975689</v>
      </c>
      <c r="G634" t="s">
        <v>2</v>
      </c>
      <c r="H634" s="3">
        <f>1.4/322.4</f>
        <v>0.004342431761786601</v>
      </c>
    </row>
    <row r="635" spans="2:8" ht="12.75">
      <c r="B635" s="1">
        <f>SUM(B630:B634)</f>
        <v>1</v>
      </c>
      <c r="E635" s="1">
        <f>SUM(E630:E634)</f>
        <v>0.9999999999999999</v>
      </c>
      <c r="H635" s="1">
        <f>SUM(H630:H634)</f>
        <v>1</v>
      </c>
    </row>
    <row r="637" spans="1:8" ht="12.75">
      <c r="A637" s="22">
        <v>339</v>
      </c>
      <c r="B637" s="22"/>
      <c r="D637" s="22">
        <v>347</v>
      </c>
      <c r="E637" s="22"/>
      <c r="G637" s="22">
        <v>355</v>
      </c>
      <c r="H637" s="22"/>
    </row>
    <row r="638" spans="1:8" ht="12.75">
      <c r="A638" t="s">
        <v>3</v>
      </c>
      <c r="B638" s="4">
        <f>275/327.2</f>
        <v>0.8404645476772616</v>
      </c>
      <c r="D638" t="s">
        <v>3</v>
      </c>
      <c r="E638" s="4">
        <f>275/306.2</f>
        <v>0.8981058131939909</v>
      </c>
      <c r="G638" t="s">
        <v>3</v>
      </c>
      <c r="H638" s="4">
        <f>275/316</f>
        <v>0.870253164556962</v>
      </c>
    </row>
    <row r="639" spans="1:8" ht="12.75">
      <c r="A639" t="s">
        <v>1</v>
      </c>
      <c r="B639" s="4">
        <f>40/327.2</f>
        <v>0.12224938875305624</v>
      </c>
      <c r="D639" t="s">
        <v>5</v>
      </c>
      <c r="E639" s="4">
        <f>13/306.2</f>
        <v>0.042455911169170475</v>
      </c>
      <c r="G639" t="s">
        <v>1</v>
      </c>
      <c r="H639" s="4">
        <f>20/316</f>
        <v>0.06329113924050633</v>
      </c>
    </row>
    <row r="640" spans="1:8" ht="12.75">
      <c r="A640" t="s">
        <v>19</v>
      </c>
      <c r="B640" s="4">
        <f>10/327.2</f>
        <v>0.03056234718826406</v>
      </c>
      <c r="D640" t="s">
        <v>19</v>
      </c>
      <c r="E640" s="4">
        <f>10/306.2</f>
        <v>0.032658393207054215</v>
      </c>
      <c r="G640" t="s">
        <v>19</v>
      </c>
      <c r="H640" s="4">
        <f>12/316</f>
        <v>0.0379746835443038</v>
      </c>
    </row>
    <row r="641" spans="1:8" ht="13.5" thickBot="1">
      <c r="A641" t="s">
        <v>2</v>
      </c>
      <c r="B641" s="4">
        <f>1.2/327.2</f>
        <v>0.003667481662591687</v>
      </c>
      <c r="D641" t="s">
        <v>1</v>
      </c>
      <c r="E641" s="4">
        <f>7/306.2</f>
        <v>0.02286087524493795</v>
      </c>
      <c r="G641" t="s">
        <v>2</v>
      </c>
      <c r="H641" s="3">
        <f>9/316</f>
        <v>0.028481012658227847</v>
      </c>
    </row>
    <row r="642" spans="1:8" ht="13.5" thickBot="1">
      <c r="A642" t="s">
        <v>24</v>
      </c>
      <c r="B642" s="3">
        <f>1/327.2</f>
        <v>0.003056234718826406</v>
      </c>
      <c r="D642" t="s">
        <v>2</v>
      </c>
      <c r="E642" s="3">
        <f>1.2/306.2</f>
        <v>0.003919007184846506</v>
      </c>
      <c r="H642" s="1">
        <f>SUM(H638:H641)</f>
        <v>1</v>
      </c>
    </row>
    <row r="643" spans="2:5" ht="12.75">
      <c r="B643" s="1">
        <f>SUM(B638:B642)</f>
        <v>1</v>
      </c>
      <c r="E643" s="4">
        <f>SUM(E638:E642)</f>
        <v>1</v>
      </c>
    </row>
    <row r="644" spans="7:8" ht="12.75">
      <c r="G644" s="22">
        <v>356</v>
      </c>
      <c r="H644" s="22"/>
    </row>
    <row r="645" spans="1:8" ht="12.75">
      <c r="A645" s="22">
        <v>340</v>
      </c>
      <c r="B645" s="22"/>
      <c r="D645" s="22">
        <v>348</v>
      </c>
      <c r="E645" s="22"/>
      <c r="G645" t="s">
        <v>3</v>
      </c>
      <c r="H645" s="4">
        <f>275/305.2</f>
        <v>0.9010484927916121</v>
      </c>
    </row>
    <row r="646" spans="1:8" ht="12.75">
      <c r="A646" t="s">
        <v>3</v>
      </c>
      <c r="B646" s="4">
        <f>275/309.4</f>
        <v>0.8888170652876536</v>
      </c>
      <c r="D646" t="s">
        <v>3</v>
      </c>
      <c r="E646" s="4">
        <f>275/304.4</f>
        <v>0.9034165571616295</v>
      </c>
      <c r="G646" t="s">
        <v>19</v>
      </c>
      <c r="H646" s="4">
        <f>14/305.2</f>
        <v>0.045871559633027525</v>
      </c>
    </row>
    <row r="647" spans="1:8" ht="12.75">
      <c r="A647" t="s">
        <v>1</v>
      </c>
      <c r="B647" s="4">
        <f>17/309.4</f>
        <v>0.05494505494505495</v>
      </c>
      <c r="D647" t="s">
        <v>19</v>
      </c>
      <c r="E647" s="4">
        <f>16.4/304.4</f>
        <v>0.05387647831800263</v>
      </c>
      <c r="G647" t="s">
        <v>2</v>
      </c>
      <c r="H647" s="4">
        <f>9.2/305.2</f>
        <v>0.030144167758846655</v>
      </c>
    </row>
    <row r="648" spans="1:8" ht="13.5" thickBot="1">
      <c r="A648" t="s">
        <v>19</v>
      </c>
      <c r="B648" s="4">
        <f>16.4/309.4</f>
        <v>0.053005817711700064</v>
      </c>
      <c r="D648" t="s">
        <v>1</v>
      </c>
      <c r="E648" s="4">
        <f>7/304.4</f>
        <v>0.02299605781865966</v>
      </c>
      <c r="G648" t="s">
        <v>1</v>
      </c>
      <c r="H648" s="3">
        <f>7/305.2</f>
        <v>0.022935779816513763</v>
      </c>
    </row>
    <row r="649" spans="1:8" ht="13.5" thickBot="1">
      <c r="A649" t="s">
        <v>2</v>
      </c>
      <c r="B649" s="3">
        <f>1/309.4</f>
        <v>0.0032320620555914676</v>
      </c>
      <c r="D649" t="s">
        <v>2</v>
      </c>
      <c r="E649" s="3">
        <f>6/304.4</f>
        <v>0.01971090670170828</v>
      </c>
      <c r="H649" s="1">
        <f>SUM(H645:H648)</f>
        <v>1.0000000000000002</v>
      </c>
    </row>
    <row r="650" spans="2:5" ht="12.75">
      <c r="B650" s="1">
        <f>SUM(B646:B649)</f>
        <v>1.0000000000000002</v>
      </c>
      <c r="E650" s="1">
        <f>SUM(E646:E649)</f>
        <v>1</v>
      </c>
    </row>
    <row r="651" spans="7:8" ht="12.75">
      <c r="G651" s="22">
        <v>357</v>
      </c>
      <c r="H651" s="22"/>
    </row>
    <row r="652" spans="1:8" ht="12.75">
      <c r="A652" s="22">
        <v>341</v>
      </c>
      <c r="B652" s="22"/>
      <c r="D652" s="22">
        <v>349</v>
      </c>
      <c r="E652" s="22"/>
      <c r="G652" t="s">
        <v>3</v>
      </c>
      <c r="H652" s="4">
        <f>275/308</f>
        <v>0.8928571428571429</v>
      </c>
    </row>
    <row r="653" spans="1:8" ht="12.75">
      <c r="A653" t="s">
        <v>3</v>
      </c>
      <c r="B653" s="4">
        <f>275/306</f>
        <v>0.8986928104575164</v>
      </c>
      <c r="D653" t="s">
        <v>3</v>
      </c>
      <c r="E653" s="4">
        <f>275/302.7</f>
        <v>0.9084902543772713</v>
      </c>
      <c r="G653" t="s">
        <v>2</v>
      </c>
      <c r="H653" s="4">
        <f>17.2/308</f>
        <v>0.05584415584415584</v>
      </c>
    </row>
    <row r="654" spans="1:8" ht="12.75">
      <c r="A654" t="s">
        <v>19</v>
      </c>
      <c r="B654" s="4">
        <f>18/306</f>
        <v>0.058823529411764705</v>
      </c>
      <c r="D654" t="s">
        <v>19</v>
      </c>
      <c r="E654" s="4">
        <f>16/302.7</f>
        <v>0.052857614800132145</v>
      </c>
      <c r="G654" t="s">
        <v>19</v>
      </c>
      <c r="H654" s="4">
        <f>10/308</f>
        <v>0.032467532467532464</v>
      </c>
    </row>
    <row r="655" spans="1:8" ht="12.75">
      <c r="A655" t="s">
        <v>5</v>
      </c>
      <c r="B655" s="4">
        <f>8/306</f>
        <v>0.026143790849673203</v>
      </c>
      <c r="D655" t="s">
        <v>2</v>
      </c>
      <c r="E655" s="4">
        <f>6.4/302.7</f>
        <v>0.02114304592005286</v>
      </c>
      <c r="G655" t="s">
        <v>1</v>
      </c>
      <c r="H655" s="4">
        <f>3.4/308</f>
        <v>0.01103896103896104</v>
      </c>
    </row>
    <row r="656" spans="1:8" ht="13.5" thickBot="1">
      <c r="A656" t="s">
        <v>1</v>
      </c>
      <c r="B656" s="3">
        <f>5/306</f>
        <v>0.016339869281045753</v>
      </c>
      <c r="D656" t="s">
        <v>1</v>
      </c>
      <c r="E656" s="4">
        <f>5/302.7</f>
        <v>0.016518004625041296</v>
      </c>
      <c r="G656" t="s">
        <v>6</v>
      </c>
      <c r="H656" s="3">
        <f>2.4/308</f>
        <v>0.007792207792207792</v>
      </c>
    </row>
    <row r="657" spans="2:8" ht="13.5" thickBot="1">
      <c r="B657" s="1">
        <f>SUM(B653:B656)</f>
        <v>1</v>
      </c>
      <c r="D657" t="s">
        <v>6</v>
      </c>
      <c r="E657" s="3">
        <f>0.3/302.7</f>
        <v>0.0009910802775024777</v>
      </c>
      <c r="H657" s="1">
        <f>SUM(H652:H656)</f>
        <v>1</v>
      </c>
    </row>
    <row r="658" ht="12.75">
      <c r="E658" s="1">
        <f>SUM(E653:E657)</f>
        <v>1</v>
      </c>
    </row>
    <row r="659" spans="1:8" ht="12.75">
      <c r="A659" s="22">
        <v>342</v>
      </c>
      <c r="B659" s="22"/>
      <c r="G659" s="22">
        <v>358</v>
      </c>
      <c r="H659" s="22"/>
    </row>
    <row r="660" spans="1:8" ht="12.75">
      <c r="A660" t="s">
        <v>3</v>
      </c>
      <c r="B660" s="4">
        <f>275/297</f>
        <v>0.9259259259259259</v>
      </c>
      <c r="D660" s="22">
        <v>350</v>
      </c>
      <c r="E660" s="22"/>
      <c r="G660" t="s">
        <v>3</v>
      </c>
      <c r="H660" s="4">
        <f>275/361.4</f>
        <v>0.7609297177642502</v>
      </c>
    </row>
    <row r="661" spans="1:8" ht="12.75">
      <c r="A661" t="s">
        <v>19</v>
      </c>
      <c r="B661" s="4">
        <f>19/297</f>
        <v>0.06397306397306397</v>
      </c>
      <c r="D661" t="s">
        <v>3</v>
      </c>
      <c r="E661" s="4">
        <f>275/312.4</f>
        <v>0.8802816901408451</v>
      </c>
      <c r="G661" t="s">
        <v>1</v>
      </c>
      <c r="H661" s="4">
        <f>84/361.4</f>
        <v>0.2324294410625346</v>
      </c>
    </row>
    <row r="662" spans="1:8" ht="12.75">
      <c r="A662" t="s">
        <v>1</v>
      </c>
      <c r="B662" s="4">
        <f>2/297</f>
        <v>0.006734006734006734</v>
      </c>
      <c r="D662" t="s">
        <v>2</v>
      </c>
      <c r="E662" s="4">
        <f>16/312.4</f>
        <v>0.051216389244558264</v>
      </c>
      <c r="G662" t="s">
        <v>2</v>
      </c>
      <c r="H662" s="4">
        <f>1.4/361.4</f>
        <v>0.00387382401770891</v>
      </c>
    </row>
    <row r="663" spans="1:8" ht="13.5" thickBot="1">
      <c r="A663" t="s">
        <v>2</v>
      </c>
      <c r="B663" s="3">
        <f>1/297</f>
        <v>0.003367003367003367</v>
      </c>
      <c r="D663" t="s">
        <v>19</v>
      </c>
      <c r="E663" s="4">
        <f>13/312.4</f>
        <v>0.04161331626120359</v>
      </c>
      <c r="G663" t="s">
        <v>19</v>
      </c>
      <c r="H663" s="4">
        <f>0.8/361.4</f>
        <v>0.0022136137244050916</v>
      </c>
    </row>
    <row r="664" spans="2:8" ht="13.5" thickBot="1">
      <c r="B664" s="1">
        <f>SUM(B660:B663)</f>
        <v>1</v>
      </c>
      <c r="D664" t="s">
        <v>1</v>
      </c>
      <c r="E664" s="4">
        <f>5/312.4</f>
        <v>0.016005121638924456</v>
      </c>
      <c r="G664" t="s">
        <v>16</v>
      </c>
      <c r="H664" s="3">
        <f>0.2/361.4</f>
        <v>0.0005534034311012729</v>
      </c>
    </row>
    <row r="665" spans="4:8" ht="13.5" thickBot="1">
      <c r="D665" t="s">
        <v>6</v>
      </c>
      <c r="E665" s="3">
        <f>3.4/312.4</f>
        <v>0.01088348271446863</v>
      </c>
      <c r="H665" s="1">
        <f>SUM(H660:H664)</f>
        <v>1</v>
      </c>
    </row>
    <row r="666" spans="1:5" ht="12.75">
      <c r="A666" s="22">
        <v>343</v>
      </c>
      <c r="B666" s="22"/>
      <c r="E666" s="1">
        <f>SUM(E661:E665)</f>
        <v>1</v>
      </c>
    </row>
    <row r="667" spans="1:8" ht="12" customHeight="1">
      <c r="A667" t="s">
        <v>3</v>
      </c>
      <c r="B667" s="4">
        <f>275/297.4</f>
        <v>0.9246805648957633</v>
      </c>
      <c r="G667" s="22">
        <v>359</v>
      </c>
      <c r="H667" s="22"/>
    </row>
    <row r="668" spans="1:8" ht="12" customHeight="1">
      <c r="A668" t="s">
        <v>19</v>
      </c>
      <c r="B668" s="4">
        <f>19/297.4</f>
        <v>0.06388702084734366</v>
      </c>
      <c r="D668" s="22">
        <v>351</v>
      </c>
      <c r="E668" s="22"/>
      <c r="G668" t="s">
        <v>3</v>
      </c>
      <c r="H668" s="4">
        <f>275/362</f>
        <v>0.7596685082872928</v>
      </c>
    </row>
    <row r="669" spans="1:8" ht="12" customHeight="1">
      <c r="A669" t="s">
        <v>1</v>
      </c>
      <c r="B669" s="4">
        <f>2/297.4</f>
        <v>0.006724949562878279</v>
      </c>
      <c r="D669" t="s">
        <v>3</v>
      </c>
      <c r="E669" s="4">
        <f>275/319.1</f>
        <v>0.8617988091507364</v>
      </c>
      <c r="G669" t="s">
        <v>1</v>
      </c>
      <c r="H669" s="4">
        <f>84/362</f>
        <v>0.23204419889502761</v>
      </c>
    </row>
    <row r="670" spans="1:8" ht="12.75">
      <c r="A670" t="s">
        <v>2</v>
      </c>
      <c r="B670" s="4">
        <f>1/297.4</f>
        <v>0.0033624747814391394</v>
      </c>
      <c r="D670" t="s">
        <v>1</v>
      </c>
      <c r="E670" s="4">
        <f>40/319.1</f>
        <v>0.12535255405828893</v>
      </c>
      <c r="G670" t="s">
        <v>2</v>
      </c>
      <c r="H670" s="4">
        <f>2/362</f>
        <v>0.0055248618784530384</v>
      </c>
    </row>
    <row r="671" spans="1:8" ht="12" customHeight="1" thickBot="1">
      <c r="A671" t="s">
        <v>6</v>
      </c>
      <c r="B671" s="3">
        <f>0.4/297.4</f>
        <v>0.0013449899125756559</v>
      </c>
      <c r="D671" t="s">
        <v>5</v>
      </c>
      <c r="E671" s="4">
        <f>3.2/319.1</f>
        <v>0.010028204324663115</v>
      </c>
      <c r="G671" t="s">
        <v>19</v>
      </c>
      <c r="H671" s="3">
        <f>1/362</f>
        <v>0.0027624309392265192</v>
      </c>
    </row>
    <row r="672" spans="2:8" ht="12.75">
      <c r="B672" s="1">
        <f>SUM(B667:B671)</f>
        <v>1</v>
      </c>
      <c r="D672" t="s">
        <v>16</v>
      </c>
      <c r="E672" s="4">
        <f>0.5/319.1</f>
        <v>0.0015669069257286117</v>
      </c>
      <c r="H672" s="1">
        <f>SUM(H668:H671)</f>
        <v>1</v>
      </c>
    </row>
    <row r="673" spans="4:5" ht="13.5" thickBot="1">
      <c r="D673" t="s">
        <v>19</v>
      </c>
      <c r="E673" s="3">
        <f>0.4/319.1</f>
        <v>0.0012535255405828893</v>
      </c>
    </row>
    <row r="674" spans="1:8" ht="12.75">
      <c r="A674" s="22">
        <v>344</v>
      </c>
      <c r="B674" s="22"/>
      <c r="E674" s="1">
        <f>SUM(E669:E673)</f>
        <v>0.9999999999999999</v>
      </c>
      <c r="G674" s="22">
        <v>360</v>
      </c>
      <c r="H674" s="22"/>
    </row>
    <row r="675" spans="1:8" ht="12.75">
      <c r="A675" t="s">
        <v>3</v>
      </c>
      <c r="B675" s="4">
        <f>275/339.1</f>
        <v>0.8109702152757298</v>
      </c>
      <c r="G675" t="s">
        <v>3</v>
      </c>
      <c r="H675" s="4">
        <f>275/343</f>
        <v>0.8017492711370262</v>
      </c>
    </row>
    <row r="676" spans="1:8" ht="12.75">
      <c r="A676" t="s">
        <v>1</v>
      </c>
      <c r="B676" s="4">
        <f>60/339.1</f>
        <v>0.17693895606015925</v>
      </c>
      <c r="D676" s="22">
        <v>352</v>
      </c>
      <c r="E676" s="22"/>
      <c r="G676" t="s">
        <v>1</v>
      </c>
      <c r="H676" s="4">
        <f>53/343</f>
        <v>0.15451895043731778</v>
      </c>
    </row>
    <row r="677" spans="1:8" ht="12.75">
      <c r="A677" t="s">
        <v>5</v>
      </c>
      <c r="B677" s="4">
        <f>3.6/339.1</f>
        <v>0.010616337363609554</v>
      </c>
      <c r="D677" t="s">
        <v>3</v>
      </c>
      <c r="E677" s="4">
        <f>275/342</f>
        <v>0.804093567251462</v>
      </c>
      <c r="G677" t="s">
        <v>2</v>
      </c>
      <c r="H677" s="4">
        <f>10/343</f>
        <v>0.029154518950437316</v>
      </c>
    </row>
    <row r="678" spans="1:8" ht="12" customHeight="1" thickBot="1">
      <c r="A678" t="s">
        <v>19</v>
      </c>
      <c r="B678" s="4">
        <f>0.4/339.1</f>
        <v>0.0011795930404010617</v>
      </c>
      <c r="D678" t="s">
        <v>1</v>
      </c>
      <c r="E678" s="4">
        <f>60/342</f>
        <v>0.17543859649122806</v>
      </c>
      <c r="G678" t="s">
        <v>19</v>
      </c>
      <c r="H678" s="3">
        <f>5/343</f>
        <v>0.014577259475218658</v>
      </c>
    </row>
    <row r="679" spans="1:8" ht="13.5" thickBot="1">
      <c r="A679" t="s">
        <v>6</v>
      </c>
      <c r="B679" s="3">
        <f>0.1/339.1</f>
        <v>0.0002948982601002654</v>
      </c>
      <c r="D679" t="s">
        <v>5</v>
      </c>
      <c r="E679" s="4">
        <f>6/342</f>
        <v>0.017543859649122806</v>
      </c>
      <c r="H679" s="1">
        <f>SUM(H675:H678)</f>
        <v>1</v>
      </c>
    </row>
    <row r="680" spans="2:5" ht="12" customHeight="1">
      <c r="B680" s="1">
        <f>SUM(B675:B679)</f>
        <v>0.9999999999999999</v>
      </c>
      <c r="D680" t="s">
        <v>19</v>
      </c>
      <c r="E680" s="4">
        <f>0.6/342</f>
        <v>0.0017543859649122807</v>
      </c>
    </row>
    <row r="681" spans="4:8" ht="12" customHeight="1" thickBot="1">
      <c r="D681" t="s">
        <v>16</v>
      </c>
      <c r="E681" s="3">
        <f>0.4/342</f>
        <v>0.0011695906432748538</v>
      </c>
      <c r="G681" s="22">
        <v>361</v>
      </c>
      <c r="H681" s="22"/>
    </row>
    <row r="682" spans="1:8" ht="12.75">
      <c r="A682" s="22">
        <v>345</v>
      </c>
      <c r="B682" s="22"/>
      <c r="E682" s="1">
        <f>SUM(E677:E681)</f>
        <v>0.9999999999999999</v>
      </c>
      <c r="G682" t="s">
        <v>3</v>
      </c>
      <c r="H682" s="4">
        <f>275/329.4</f>
        <v>0.8348512446873103</v>
      </c>
    </row>
    <row r="683" spans="1:8" ht="12.75">
      <c r="A683" t="s">
        <v>3</v>
      </c>
      <c r="B683" s="4">
        <f>275/336.9</f>
        <v>0.8162659542891066</v>
      </c>
      <c r="G683" t="s">
        <v>1</v>
      </c>
      <c r="H683" s="4">
        <f>29/329.4</f>
        <v>0.08803885853066182</v>
      </c>
    </row>
    <row r="684" spans="1:8" ht="12.75">
      <c r="A684" t="s">
        <v>1</v>
      </c>
      <c r="B684" s="4">
        <f>58/336.9</f>
        <v>0.17215791035915703</v>
      </c>
      <c r="D684" s="22">
        <v>353</v>
      </c>
      <c r="E684" s="22"/>
      <c r="G684" t="s">
        <v>2</v>
      </c>
      <c r="H684" s="4">
        <f>18/329.4</f>
        <v>0.054644808743169404</v>
      </c>
    </row>
    <row r="685" spans="1:8" ht="12.75" customHeight="1" thickBot="1">
      <c r="A685" t="s">
        <v>5</v>
      </c>
      <c r="B685" s="4">
        <f>3.2/336.9</f>
        <v>0.009498367468091422</v>
      </c>
      <c r="D685" t="s">
        <v>3</v>
      </c>
      <c r="E685" s="4">
        <f>275/366</f>
        <v>0.7513661202185792</v>
      </c>
      <c r="G685" t="s">
        <v>19</v>
      </c>
      <c r="H685" s="3">
        <f>7.4/329.4</f>
        <v>0.022465088038858532</v>
      </c>
    </row>
    <row r="686" spans="1:8" ht="12.75" customHeight="1">
      <c r="A686" t="s">
        <v>19</v>
      </c>
      <c r="B686" s="4">
        <f>0.6/336.9</f>
        <v>0.0017809439002671415</v>
      </c>
      <c r="D686" t="s">
        <v>1</v>
      </c>
      <c r="E686" s="4">
        <f>88/366</f>
        <v>0.24043715846994534</v>
      </c>
      <c r="H686" s="1">
        <f>SUM(H682:H685)</f>
        <v>1.0000000000000002</v>
      </c>
    </row>
    <row r="687" spans="1:5" ht="12.75" customHeight="1" thickBot="1">
      <c r="A687" t="s">
        <v>6</v>
      </c>
      <c r="B687" s="3">
        <f>0.1/336.9</f>
        <v>0.00029682398337785694</v>
      </c>
      <c r="D687" t="s">
        <v>19</v>
      </c>
      <c r="E687" s="4">
        <f>1.6/366</f>
        <v>0.004371584699453552</v>
      </c>
    </row>
    <row r="688" spans="2:5" ht="12.75">
      <c r="B688" s="1">
        <f>SUM(B683:B687)</f>
        <v>1.0000000000000002</v>
      </c>
      <c r="D688" t="s">
        <v>2</v>
      </c>
      <c r="E688" s="4">
        <f>1.2/366</f>
        <v>0.003278688524590164</v>
      </c>
    </row>
    <row r="689" spans="4:5" ht="12.75" customHeight="1" thickBot="1">
      <c r="D689" t="s">
        <v>24</v>
      </c>
      <c r="E689" s="3">
        <f>0.2/366</f>
        <v>0.000546448087431694</v>
      </c>
    </row>
    <row r="690" ht="12.75">
      <c r="E690" s="1">
        <f>SUM(E685:E689)</f>
        <v>0.9999999999999998</v>
      </c>
    </row>
    <row r="691" spans="1:8" ht="12.75">
      <c r="A691" s="22">
        <v>362</v>
      </c>
      <c r="B691" s="22"/>
      <c r="D691" s="22">
        <v>370</v>
      </c>
      <c r="E691" s="22"/>
      <c r="G691" s="22">
        <v>378</v>
      </c>
      <c r="H691" s="22"/>
    </row>
    <row r="692" spans="1:8" ht="12.75">
      <c r="A692" t="s">
        <v>3</v>
      </c>
      <c r="B692" s="4">
        <f>275/328.3</f>
        <v>0.837648492232714</v>
      </c>
      <c r="D692" t="s">
        <v>3</v>
      </c>
      <c r="E692" s="4">
        <f>275/325.2</f>
        <v>0.8456334563345633</v>
      </c>
      <c r="G692" t="s">
        <v>3</v>
      </c>
      <c r="H692" s="4">
        <f>275/323</f>
        <v>0.8513931888544891</v>
      </c>
    </row>
    <row r="693" spans="1:8" ht="12.75">
      <c r="A693" t="s">
        <v>1</v>
      </c>
      <c r="B693" s="4">
        <f>32/328.3</f>
        <v>0.0974718245507158</v>
      </c>
      <c r="D693" t="s">
        <v>2</v>
      </c>
      <c r="E693" s="4">
        <f>23/325.2</f>
        <v>0.07072570725707257</v>
      </c>
      <c r="G693" t="s">
        <v>2</v>
      </c>
      <c r="H693" s="4">
        <f>36/323</f>
        <v>0.11145510835913312</v>
      </c>
    </row>
    <row r="694" spans="1:8" ht="12.75">
      <c r="A694" t="s">
        <v>2</v>
      </c>
      <c r="B694" s="4">
        <f>13.4/328.3</f>
        <v>0.04081632653061224</v>
      </c>
      <c r="D694" t="s">
        <v>1</v>
      </c>
      <c r="E694" s="4">
        <f>22/325.2</f>
        <v>0.06765067650676507</v>
      </c>
      <c r="G694" t="s">
        <v>1</v>
      </c>
      <c r="H694" s="4">
        <f>8/323</f>
        <v>0.02476780185758514</v>
      </c>
    </row>
    <row r="695" spans="1:8" ht="13.5" thickBot="1">
      <c r="A695" t="s">
        <v>19</v>
      </c>
      <c r="B695" s="4">
        <f>7.6/328.3</f>
        <v>0.023149558330795003</v>
      </c>
      <c r="D695" t="s">
        <v>19</v>
      </c>
      <c r="E695" s="4">
        <f>4/325.2</f>
        <v>0.012300123001230012</v>
      </c>
      <c r="G695" t="s">
        <v>6</v>
      </c>
      <c r="H695" s="3">
        <f>4/323</f>
        <v>0.01238390092879257</v>
      </c>
    </row>
    <row r="696" spans="1:8" ht="13.5" thickBot="1">
      <c r="A696" t="s">
        <v>6</v>
      </c>
      <c r="B696" s="3">
        <f>0.3/328.3</f>
        <v>0.0009137983551629606</v>
      </c>
      <c r="D696" t="s">
        <v>6</v>
      </c>
      <c r="E696" s="3">
        <f>1.2/325.2</f>
        <v>0.0036900369003690036</v>
      </c>
      <c r="H696" s="1">
        <f>SUM(H692:H695)</f>
        <v>0.9999999999999999</v>
      </c>
    </row>
    <row r="697" spans="2:5" ht="12.75">
      <c r="B697" s="1">
        <f>SUM(B692:B696)</f>
        <v>1</v>
      </c>
      <c r="E697" s="1">
        <f>SUM(E692:E696)</f>
        <v>1</v>
      </c>
    </row>
    <row r="698" spans="7:8" ht="12.75">
      <c r="G698" s="22">
        <v>379</v>
      </c>
      <c r="H698" s="22"/>
    </row>
    <row r="699" spans="1:8" ht="12.75">
      <c r="A699" s="22">
        <v>363</v>
      </c>
      <c r="B699" s="22"/>
      <c r="D699" s="22">
        <v>371</v>
      </c>
      <c r="E699" s="22"/>
      <c r="G699" t="s">
        <v>3</v>
      </c>
      <c r="H699" s="4">
        <f>275/366.3</f>
        <v>0.7507507507507507</v>
      </c>
    </row>
    <row r="700" spans="1:8" ht="12.75">
      <c r="A700" t="s">
        <v>3</v>
      </c>
      <c r="B700" s="4">
        <f>275/319.7</f>
        <v>0.8601814200813263</v>
      </c>
      <c r="D700" t="s">
        <v>3</v>
      </c>
      <c r="E700" s="4">
        <f>275/322.4</f>
        <v>0.8529776674937966</v>
      </c>
      <c r="G700" t="s">
        <v>1</v>
      </c>
      <c r="H700" s="4">
        <f>85/366.3</f>
        <v>0.23205023205023204</v>
      </c>
    </row>
    <row r="701" spans="1:8" ht="12.75">
      <c r="A701" t="s">
        <v>2</v>
      </c>
      <c r="B701" s="4">
        <f>25/319.7</f>
        <v>0.0781983109164842</v>
      </c>
      <c r="D701" t="s">
        <v>2</v>
      </c>
      <c r="E701" s="4">
        <f>38/322.4</f>
        <v>0.11786600496277916</v>
      </c>
      <c r="G701" t="s">
        <v>2</v>
      </c>
      <c r="H701" s="4">
        <f>6/366.3</f>
        <v>0.01638001638001638</v>
      </c>
    </row>
    <row r="702" spans="1:8" ht="12.75">
      <c r="A702" t="s">
        <v>1</v>
      </c>
      <c r="B702" s="4">
        <f>11/319.7</f>
        <v>0.03440725680325305</v>
      </c>
      <c r="D702" t="s">
        <v>1</v>
      </c>
      <c r="E702" s="4">
        <f>5/322.4</f>
        <v>0.015508684863523574</v>
      </c>
      <c r="G702" t="s">
        <v>19</v>
      </c>
      <c r="H702" s="4">
        <f>0.2/366.3</f>
        <v>0.000546000546000546</v>
      </c>
    </row>
    <row r="703" spans="1:8" ht="13.5" thickBot="1">
      <c r="A703" t="s">
        <v>19</v>
      </c>
      <c r="B703" s="4">
        <f>8/319.7</f>
        <v>0.025023459493274947</v>
      </c>
      <c r="D703" t="s">
        <v>6</v>
      </c>
      <c r="E703" s="4">
        <f>3.6/322.4</f>
        <v>0.011166253101736974</v>
      </c>
      <c r="G703" t="s">
        <v>7</v>
      </c>
      <c r="H703" s="3">
        <f>0.1/366.3</f>
        <v>0.000273000273000273</v>
      </c>
    </row>
    <row r="704" spans="1:8" ht="13.5" thickBot="1">
      <c r="A704" t="s">
        <v>6</v>
      </c>
      <c r="B704" s="3">
        <f>0.7/319.7</f>
        <v>0.002189552705661558</v>
      </c>
      <c r="D704" t="s">
        <v>19</v>
      </c>
      <c r="E704" s="3">
        <f>0.8/322.4</f>
        <v>0.002481389578163772</v>
      </c>
      <c r="H704" s="1">
        <f>SUM(H699:H703)</f>
        <v>0.9999999999999999</v>
      </c>
    </row>
    <row r="705" spans="2:5" ht="12.75">
      <c r="B705" s="1">
        <f>SUM(B700:B704)</f>
        <v>1</v>
      </c>
      <c r="E705" s="1">
        <f>SUM(E700:E704)</f>
        <v>1</v>
      </c>
    </row>
    <row r="706" spans="7:8" ht="12.75">
      <c r="G706" s="22">
        <v>380</v>
      </c>
      <c r="H706" s="22"/>
    </row>
    <row r="707" spans="1:8" ht="12.75">
      <c r="A707" s="22">
        <v>364</v>
      </c>
      <c r="B707" s="22"/>
      <c r="D707" s="22">
        <v>372</v>
      </c>
      <c r="E707" s="22"/>
      <c r="G707" t="s">
        <v>3</v>
      </c>
      <c r="H707" s="4">
        <f>275/363.2</f>
        <v>0.7571585903083701</v>
      </c>
    </row>
    <row r="708" spans="1:8" ht="12.75">
      <c r="A708" t="s">
        <v>3</v>
      </c>
      <c r="B708" s="4">
        <f>275/318.6</f>
        <v>0.8631512868801003</v>
      </c>
      <c r="D708" t="s">
        <v>3</v>
      </c>
      <c r="E708" s="4">
        <f>275/367.6</f>
        <v>0.7480957562568008</v>
      </c>
      <c r="G708" t="s">
        <v>1</v>
      </c>
      <c r="H708" s="4">
        <f>80/363.2</f>
        <v>0.22026431718061676</v>
      </c>
    </row>
    <row r="709" spans="1:8" ht="12.75">
      <c r="A709" t="s">
        <v>2</v>
      </c>
      <c r="B709" s="4">
        <f>29/318.6</f>
        <v>0.09102322661644695</v>
      </c>
      <c r="D709" t="s">
        <v>1</v>
      </c>
      <c r="E709" s="4">
        <f>90/367.6</f>
        <v>0.24483133841131663</v>
      </c>
      <c r="G709" t="s">
        <v>2</v>
      </c>
      <c r="H709" s="4">
        <f>8/363.2</f>
        <v>0.022026431718061675</v>
      </c>
    </row>
    <row r="710" spans="1:8" ht="13.5" thickBot="1">
      <c r="A710" t="s">
        <v>1</v>
      </c>
      <c r="B710" s="4">
        <f>8/318.6</f>
        <v>0.025109855618330193</v>
      </c>
      <c r="D710" t="s">
        <v>2</v>
      </c>
      <c r="E710" s="4">
        <f>2/367.6</f>
        <v>0.005440696409140369</v>
      </c>
      <c r="G710" t="s">
        <v>19</v>
      </c>
      <c r="H710" s="3">
        <f>0.2/363.2</f>
        <v>0.0005506607929515419</v>
      </c>
    </row>
    <row r="711" spans="1:8" ht="12.75">
      <c r="A711" t="s">
        <v>19</v>
      </c>
      <c r="B711" s="4">
        <f>5/318.6</f>
        <v>0.01569365976145637</v>
      </c>
      <c r="D711" t="s">
        <v>16</v>
      </c>
      <c r="E711" s="4">
        <f>0.4/367.6</f>
        <v>0.001088139281828074</v>
      </c>
      <c r="H711" s="1">
        <f>SUM(H707:H710)</f>
        <v>1</v>
      </c>
    </row>
    <row r="712" spans="1:5" ht="13.5" thickBot="1">
      <c r="A712" t="s">
        <v>6</v>
      </c>
      <c r="B712" s="3">
        <f>1.6/318.6</f>
        <v>0.005021971123666038</v>
      </c>
      <c r="D712" t="s">
        <v>19</v>
      </c>
      <c r="E712" s="3">
        <f>0.2/367.6</f>
        <v>0.000544069640914037</v>
      </c>
    </row>
    <row r="713" spans="2:8" ht="12.75">
      <c r="B713" s="1">
        <f>SUM(B708:B712)</f>
        <v>1</v>
      </c>
      <c r="E713" s="1">
        <f>SUM(E708:E712)</f>
        <v>0.9999999999999999</v>
      </c>
      <c r="G713" s="22">
        <v>381</v>
      </c>
      <c r="H713" s="22"/>
    </row>
    <row r="714" spans="7:8" ht="12.75">
      <c r="G714" t="s">
        <v>3</v>
      </c>
      <c r="H714" s="4">
        <f>275/357.7</f>
        <v>0.7688006709533128</v>
      </c>
    </row>
    <row r="715" spans="1:8" ht="12.75">
      <c r="A715" s="22">
        <v>365</v>
      </c>
      <c r="B715" s="22"/>
      <c r="D715" s="22">
        <v>373</v>
      </c>
      <c r="E715" s="22"/>
      <c r="G715" t="s">
        <v>1</v>
      </c>
      <c r="H715" s="4">
        <f>70/357.7</f>
        <v>0.19569471624266147</v>
      </c>
    </row>
    <row r="716" spans="1:8" ht="12.75">
      <c r="A716" t="s">
        <v>3</v>
      </c>
      <c r="B716" s="4">
        <f>275/346.6</f>
        <v>0.7934218118869013</v>
      </c>
      <c r="D716" t="s">
        <v>3</v>
      </c>
      <c r="E716" s="4">
        <f>275/368.8</f>
        <v>0.7456616052060737</v>
      </c>
      <c r="G716" t="s">
        <v>2</v>
      </c>
      <c r="H716" s="4">
        <f>12.4/357.7</f>
        <v>0.034665921162985745</v>
      </c>
    </row>
    <row r="717" spans="1:8" ht="13.5" thickBot="1">
      <c r="A717" t="s">
        <v>1</v>
      </c>
      <c r="B717" s="4">
        <f>70/346.6</f>
        <v>0.2019619157530294</v>
      </c>
      <c r="D717" t="s">
        <v>1</v>
      </c>
      <c r="E717" s="4">
        <f>90/368.8</f>
        <v>0.2440347071583514</v>
      </c>
      <c r="G717" t="s">
        <v>19</v>
      </c>
      <c r="H717" s="3">
        <f>0.3/357.7</f>
        <v>0.0008386916410399776</v>
      </c>
    </row>
    <row r="718" spans="1:8" ht="12.75">
      <c r="A718" t="s">
        <v>2</v>
      </c>
      <c r="B718" s="4">
        <f>1/346.6</f>
        <v>0.0028851702250432773</v>
      </c>
      <c r="D718" t="s">
        <v>2</v>
      </c>
      <c r="E718" s="4">
        <f>3/368.8</f>
        <v>0.008134490238611713</v>
      </c>
      <c r="H718" s="1">
        <f>SUM(H714:H717)</f>
        <v>1</v>
      </c>
    </row>
    <row r="719" spans="1:5" ht="12.75">
      <c r="A719" t="s">
        <v>16</v>
      </c>
      <c r="B719" s="4">
        <f>0.4/346.6</f>
        <v>0.001154068090017311</v>
      </c>
      <c r="D719" t="s">
        <v>16</v>
      </c>
      <c r="E719" s="4">
        <f>0.4/368.8</f>
        <v>0.0010845986984815619</v>
      </c>
    </row>
    <row r="720" spans="1:8" ht="13.5" thickBot="1">
      <c r="A720" t="s">
        <v>19</v>
      </c>
      <c r="B720" s="3">
        <f>0.2/346.6</f>
        <v>0.0005770340450086555</v>
      </c>
      <c r="D720" t="s">
        <v>19</v>
      </c>
      <c r="E720" s="3">
        <f>0.4/368.8</f>
        <v>0.0010845986984815619</v>
      </c>
      <c r="G720" s="22">
        <v>382</v>
      </c>
      <c r="H720" s="22"/>
    </row>
    <row r="721" spans="2:8" ht="12.75">
      <c r="B721" s="1">
        <f>SUM(B716:B720)</f>
        <v>0.9999999999999999</v>
      </c>
      <c r="E721" s="1">
        <f>SUM(E716:E720)</f>
        <v>0.9999999999999999</v>
      </c>
      <c r="G721" t="s">
        <v>3</v>
      </c>
      <c r="H721" s="4">
        <f>275/323.4</f>
        <v>0.8503401360544218</v>
      </c>
    </row>
    <row r="722" spans="7:8" ht="12.75">
      <c r="G722" t="s">
        <v>2</v>
      </c>
      <c r="H722" s="4">
        <f>44/323.4</f>
        <v>0.1360544217687075</v>
      </c>
    </row>
    <row r="723" spans="1:8" ht="12.75">
      <c r="A723" s="22">
        <v>366</v>
      </c>
      <c r="B723" s="22"/>
      <c r="D723" s="22">
        <v>374</v>
      </c>
      <c r="E723" s="22"/>
      <c r="G723" t="s">
        <v>1</v>
      </c>
      <c r="H723" s="4">
        <f>4/323.4</f>
        <v>0.012368583797155226</v>
      </c>
    </row>
    <row r="724" spans="1:8" ht="12.75">
      <c r="A724" t="s">
        <v>3</v>
      </c>
      <c r="B724" s="4">
        <f>275/367.1</f>
        <v>0.7491146826477798</v>
      </c>
      <c r="D724" t="s">
        <v>3</v>
      </c>
      <c r="E724" s="4">
        <f>275/366.3</f>
        <v>0.7507507507507507</v>
      </c>
      <c r="G724" t="s">
        <v>19</v>
      </c>
      <c r="H724" s="4">
        <f>0.4/323.4</f>
        <v>0.0012368583797155227</v>
      </c>
    </row>
    <row r="725" spans="1:8" ht="12.75">
      <c r="A725" t="s">
        <v>1</v>
      </c>
      <c r="B725" s="4">
        <f>90/367.1</f>
        <v>0.2451648052301825</v>
      </c>
      <c r="D725" t="s">
        <v>1</v>
      </c>
      <c r="E725" s="4">
        <f>86/366.3</f>
        <v>0.23478023478023477</v>
      </c>
      <c r="H725" s="1">
        <f>SUM(H721:H724)</f>
        <v>1</v>
      </c>
    </row>
    <row r="726" spans="1:5" ht="12.75">
      <c r="A726" t="s">
        <v>2</v>
      </c>
      <c r="B726" s="4">
        <f>1.6/367.1</f>
        <v>0.004358485426314356</v>
      </c>
      <c r="D726" t="s">
        <v>2</v>
      </c>
      <c r="E726" s="4">
        <f>4.8/366.3</f>
        <v>0.013104013104013103</v>
      </c>
    </row>
    <row r="727" spans="1:8" ht="13.5" thickBot="1">
      <c r="A727" t="s">
        <v>19</v>
      </c>
      <c r="B727" s="4">
        <f>0.4/367.1</f>
        <v>0.001089621356578589</v>
      </c>
      <c r="D727" t="s">
        <v>19</v>
      </c>
      <c r="E727" s="3">
        <f>0.5/366.3</f>
        <v>0.0013650013650013649</v>
      </c>
      <c r="G727" s="22">
        <v>383</v>
      </c>
      <c r="H727" s="22"/>
    </row>
    <row r="728" spans="1:8" ht="13.5" thickBot="1">
      <c r="A728" t="s">
        <v>6</v>
      </c>
      <c r="B728" s="3">
        <f>0.1/367.1</f>
        <v>0.00027240533914464724</v>
      </c>
      <c r="E728" s="1">
        <f>SUM(E724:E727)</f>
        <v>1</v>
      </c>
      <c r="G728" t="s">
        <v>3</v>
      </c>
      <c r="H728" s="4">
        <f>275/311.7</f>
        <v>0.8822585819698429</v>
      </c>
    </row>
    <row r="729" spans="2:8" ht="12.75">
      <c r="B729" s="1">
        <f>SUM(B724:B728)</f>
        <v>0.9999999999999999</v>
      </c>
      <c r="G729" t="s">
        <v>2</v>
      </c>
      <c r="H729" s="4">
        <f>20/311.7</f>
        <v>0.06416426050689766</v>
      </c>
    </row>
    <row r="730" spans="4:8" ht="12.75">
      <c r="D730" s="22">
        <v>375</v>
      </c>
      <c r="E730" s="22"/>
      <c r="G730" t="s">
        <v>1</v>
      </c>
      <c r="H730" s="4">
        <f>16/311.7</f>
        <v>0.05133140840551813</v>
      </c>
    </row>
    <row r="731" spans="1:8" ht="12.75">
      <c r="A731" s="22">
        <v>367</v>
      </c>
      <c r="B731" s="22"/>
      <c r="D731" t="s">
        <v>3</v>
      </c>
      <c r="E731" s="4">
        <f>275/311.6</f>
        <v>0.8825417201540435</v>
      </c>
      <c r="G731" t="s">
        <v>19</v>
      </c>
      <c r="H731" s="4">
        <f>0.4/311.7</f>
        <v>0.0012832852101379534</v>
      </c>
    </row>
    <row r="732" spans="1:8" ht="13.5" thickBot="1">
      <c r="A732" t="s">
        <v>3</v>
      </c>
      <c r="B732" s="4">
        <f>275/361</f>
        <v>0.7617728531855956</v>
      </c>
      <c r="D732" t="s">
        <v>5</v>
      </c>
      <c r="E732" s="4">
        <f>20/311.6</f>
        <v>0.06418485237483953</v>
      </c>
      <c r="G732" t="s">
        <v>6</v>
      </c>
      <c r="H732" s="3">
        <f>0.3/311.7</f>
        <v>0.0009624639076034649</v>
      </c>
    </row>
    <row r="733" spans="1:8" ht="12.75">
      <c r="A733" t="s">
        <v>1</v>
      </c>
      <c r="B733" s="4">
        <f>78/361</f>
        <v>0.21606648199445982</v>
      </c>
      <c r="D733" t="s">
        <v>1</v>
      </c>
      <c r="E733" s="4">
        <f>10/311.6</f>
        <v>0.03209242618741977</v>
      </c>
      <c r="H733" s="1">
        <f>SUM(H728:H732)</f>
        <v>1</v>
      </c>
    </row>
    <row r="734" spans="1:5" ht="12.75">
      <c r="A734" t="s">
        <v>2</v>
      </c>
      <c r="B734" s="4">
        <f>7/361</f>
        <v>0.019390581717451522</v>
      </c>
      <c r="D734" t="s">
        <v>2</v>
      </c>
      <c r="E734" s="4">
        <f>6/311.6</f>
        <v>0.01925545571245186</v>
      </c>
    </row>
    <row r="735" spans="1:8" ht="13.5" thickBot="1">
      <c r="A735" t="s">
        <v>19</v>
      </c>
      <c r="B735" s="3">
        <f>1/361</f>
        <v>0.002770083102493075</v>
      </c>
      <c r="D735" t="s">
        <v>19</v>
      </c>
      <c r="E735" s="3">
        <f>0.6/311.6</f>
        <v>0.001925545571245186</v>
      </c>
      <c r="G735" s="22">
        <v>384</v>
      </c>
      <c r="H735" s="22"/>
    </row>
    <row r="736" spans="2:8" ht="12.75">
      <c r="B736" s="1">
        <f>SUM(B732:B735)</f>
        <v>1</v>
      </c>
      <c r="E736" s="1">
        <f>SUM(E731:E735)</f>
        <v>0.9999999999999999</v>
      </c>
      <c r="G736" t="s">
        <v>3</v>
      </c>
      <c r="H736" s="4">
        <f>275/319.4</f>
        <v>0.8609893550407014</v>
      </c>
    </row>
    <row r="737" spans="7:8" ht="12.75">
      <c r="G737" t="s">
        <v>2</v>
      </c>
      <c r="H737" s="4">
        <f>25/319.4</f>
        <v>0.07827175954915468</v>
      </c>
    </row>
    <row r="738" spans="1:8" ht="12.75">
      <c r="A738" s="22">
        <v>368</v>
      </c>
      <c r="B738" s="22"/>
      <c r="D738" s="22">
        <v>376</v>
      </c>
      <c r="E738" s="22"/>
      <c r="G738" t="s">
        <v>1</v>
      </c>
      <c r="H738" s="4">
        <f>18/319.4</f>
        <v>0.05635566687539136</v>
      </c>
    </row>
    <row r="739" spans="1:8" ht="12.75">
      <c r="A739" t="s">
        <v>3</v>
      </c>
      <c r="B739" s="4">
        <f>275/326</f>
        <v>0.843558282208589</v>
      </c>
      <c r="D739" t="s">
        <v>3</v>
      </c>
      <c r="E739" s="4">
        <f>275/344.3</f>
        <v>0.7987220447284344</v>
      </c>
      <c r="G739" t="s">
        <v>6</v>
      </c>
      <c r="H739" s="4">
        <f>1.2/319.4</f>
        <v>0.003757044458359424</v>
      </c>
    </row>
    <row r="740" spans="1:8" ht="13.5" thickBot="1">
      <c r="A740" t="s">
        <v>2</v>
      </c>
      <c r="B740" s="4">
        <f>33/326</f>
        <v>0.10122699386503067</v>
      </c>
      <c r="D740" t="s">
        <v>1</v>
      </c>
      <c r="E740" s="4">
        <f>45/344.3</f>
        <v>0.13069997095556202</v>
      </c>
      <c r="G740" t="s">
        <v>19</v>
      </c>
      <c r="H740" s="3">
        <f>0.2/319.4</f>
        <v>0.0006261740763932374</v>
      </c>
    </row>
    <row r="741" spans="1:8" ht="12.75">
      <c r="A741" t="s">
        <v>1</v>
      </c>
      <c r="B741" s="4">
        <f>15/326</f>
        <v>0.046012269938650305</v>
      </c>
      <c r="D741" t="s">
        <v>2</v>
      </c>
      <c r="E741" s="4">
        <f>22/344.3</f>
        <v>0.06389776357827476</v>
      </c>
      <c r="H741" s="1">
        <f>SUM(H736:H740)</f>
        <v>1.0000000000000002</v>
      </c>
    </row>
    <row r="742" spans="1:5" ht="13.5" customHeight="1" thickBot="1">
      <c r="A742" t="s">
        <v>19</v>
      </c>
      <c r="B742" s="3">
        <f>3/326</f>
        <v>0.009202453987730062</v>
      </c>
      <c r="D742" t="s">
        <v>19</v>
      </c>
      <c r="E742" s="4">
        <f>2.2/344.3</f>
        <v>0.006389776357827477</v>
      </c>
    </row>
    <row r="743" spans="2:8" ht="12.75" customHeight="1" thickBot="1">
      <c r="B743" s="1">
        <f>SUM(B739:B742)</f>
        <v>0.9999999999999999</v>
      </c>
      <c r="D743" t="s">
        <v>6</v>
      </c>
      <c r="E743" s="3">
        <f>0.1/344.3</f>
        <v>0.0002904443799012489</v>
      </c>
      <c r="G743" s="22">
        <v>385</v>
      </c>
      <c r="H743" s="22"/>
    </row>
    <row r="744" spans="5:8" ht="12.75">
      <c r="E744" s="1">
        <f>SUM(E739:E743)</f>
        <v>0.9999999999999999</v>
      </c>
      <c r="G744" t="s">
        <v>3</v>
      </c>
      <c r="H744" s="4">
        <f>275/323.2</f>
        <v>0.8508663366336634</v>
      </c>
    </row>
    <row r="745" spans="1:8" ht="12.75">
      <c r="A745" s="22">
        <v>369</v>
      </c>
      <c r="B745" s="22"/>
      <c r="G745" t="s">
        <v>2</v>
      </c>
      <c r="H745" s="4">
        <f>40/323.2</f>
        <v>0.12376237623762376</v>
      </c>
    </row>
    <row r="746" spans="1:8" ht="12.75">
      <c r="A746" t="s">
        <v>3</v>
      </c>
      <c r="B746" s="4">
        <f>275/322.4</f>
        <v>0.8529776674937966</v>
      </c>
      <c r="D746" s="22">
        <v>377</v>
      </c>
      <c r="E746" s="22"/>
      <c r="G746" t="s">
        <v>1</v>
      </c>
      <c r="H746" s="4">
        <f>4.8/323.2</f>
        <v>0.01485148514851485</v>
      </c>
    </row>
    <row r="747" spans="1:8" ht="12.75" customHeight="1">
      <c r="A747" t="s">
        <v>1</v>
      </c>
      <c r="B747" s="4">
        <f>22/322.4</f>
        <v>0.06823821339950373</v>
      </c>
      <c r="D747" t="s">
        <v>3</v>
      </c>
      <c r="E747" s="4">
        <f>275/327.3</f>
        <v>0.8402077604644057</v>
      </c>
      <c r="G747" t="s">
        <v>6</v>
      </c>
      <c r="H747" s="4">
        <f>2.4/323.2</f>
        <v>0.007425742574257425</v>
      </c>
    </row>
    <row r="748" spans="1:8" ht="13.5" thickBot="1">
      <c r="A748" t="s">
        <v>2</v>
      </c>
      <c r="B748" s="4">
        <f>21/322.4</f>
        <v>0.06513647642679901</v>
      </c>
      <c r="D748" t="s">
        <v>2</v>
      </c>
      <c r="E748" s="4">
        <f>35.2/327.3</f>
        <v>0.10754659333944394</v>
      </c>
      <c r="G748" t="s">
        <v>7</v>
      </c>
      <c r="H748" s="3">
        <f>1/323.2</f>
        <v>0.003094059405940594</v>
      </c>
    </row>
    <row r="749" spans="1:8" ht="12.75">
      <c r="A749" t="s">
        <v>19</v>
      </c>
      <c r="B749" s="4">
        <f>4/322.4</f>
        <v>0.01240694789081886</v>
      </c>
      <c r="D749" t="s">
        <v>1</v>
      </c>
      <c r="E749" s="4">
        <f>15/327.3</f>
        <v>0.045829514207149404</v>
      </c>
      <c r="H749" s="1">
        <f>SUM(H744:H748)</f>
        <v>1</v>
      </c>
    </row>
    <row r="750" spans="1:5" ht="12.75" customHeight="1" thickBot="1">
      <c r="A750" t="s">
        <v>6</v>
      </c>
      <c r="B750" s="3">
        <f>0.4/322.4</f>
        <v>0.001240694789081886</v>
      </c>
      <c r="D750" t="s">
        <v>19</v>
      </c>
      <c r="E750" s="4">
        <f>2/327.3</f>
        <v>0.006110601894286587</v>
      </c>
    </row>
    <row r="751" spans="2:5" ht="11.25" customHeight="1" thickBot="1">
      <c r="B751" s="1">
        <f>SUM(B746:B750)</f>
        <v>1</v>
      </c>
      <c r="D751" t="s">
        <v>6</v>
      </c>
      <c r="E751" s="3">
        <f>0.1/327.3</f>
        <v>0.00030553009471432935</v>
      </c>
    </row>
    <row r="752" ht="12.75">
      <c r="E752" s="1">
        <f>SUM(E747:E751)</f>
        <v>1</v>
      </c>
    </row>
    <row r="753" ht="12.75">
      <c r="E753" s="1"/>
    </row>
    <row r="754" spans="1:8" ht="12" customHeight="1">
      <c r="A754" s="22">
        <v>386</v>
      </c>
      <c r="B754" s="22"/>
      <c r="D754" s="22">
        <v>394</v>
      </c>
      <c r="E754" s="22"/>
      <c r="G754" s="22">
        <v>402</v>
      </c>
      <c r="H754" s="22"/>
    </row>
    <row r="755" spans="1:8" ht="12" customHeight="1">
      <c r="A755" t="s">
        <v>3</v>
      </c>
      <c r="B755" s="4">
        <f>275/364.1</f>
        <v>0.755287009063444</v>
      </c>
      <c r="D755" t="s">
        <v>3</v>
      </c>
      <c r="E755" s="4">
        <f>275/353.2</f>
        <v>0.7785956964892412</v>
      </c>
      <c r="G755" t="s">
        <v>3</v>
      </c>
      <c r="H755" s="4">
        <f>275/357.8</f>
        <v>0.7685858021240917</v>
      </c>
    </row>
    <row r="756" spans="1:8" ht="12.75">
      <c r="A756" t="s">
        <v>1</v>
      </c>
      <c r="B756" s="4">
        <f>80/364.1</f>
        <v>0.21971985718209283</v>
      </c>
      <c r="D756" t="s">
        <v>1</v>
      </c>
      <c r="E756" s="4">
        <f>64/353.2</f>
        <v>0.18120045300113252</v>
      </c>
      <c r="G756" t="s">
        <v>1</v>
      </c>
      <c r="H756" s="4">
        <f>80/357.8</f>
        <v>0.22358859698155392</v>
      </c>
    </row>
    <row r="757" spans="1:8" ht="12.75">
      <c r="A757" t="s">
        <v>2</v>
      </c>
      <c r="B757" s="4">
        <f>9/364.1</f>
        <v>0.024718483932985442</v>
      </c>
      <c r="D757" t="s">
        <v>5</v>
      </c>
      <c r="E757" s="4">
        <f>10/353.2</f>
        <v>0.028312570781426953</v>
      </c>
      <c r="G757" t="s">
        <v>6</v>
      </c>
      <c r="H757" s="4">
        <f>1.2/357.8</f>
        <v>0.0033538289547233088</v>
      </c>
    </row>
    <row r="758" spans="1:8" ht="13.5" thickBot="1">
      <c r="A758" t="s">
        <v>19</v>
      </c>
      <c r="B758" s="3">
        <f>0.1/364.1</f>
        <v>0.00027464982147761604</v>
      </c>
      <c r="D758" t="s">
        <v>2</v>
      </c>
      <c r="E758" s="4">
        <f>4/353.2</f>
        <v>0.011325028312570783</v>
      </c>
      <c r="G758" t="s">
        <v>2</v>
      </c>
      <c r="H758" s="4">
        <f>1/357.8</f>
        <v>0.002794857462269424</v>
      </c>
    </row>
    <row r="759" spans="2:8" ht="13.5" thickBot="1">
      <c r="B759" s="1">
        <f>SUM(B755:B758)</f>
        <v>1</v>
      </c>
      <c r="D759" t="s">
        <v>75</v>
      </c>
      <c r="E759" s="3">
        <f>0.2/353.2</f>
        <v>0.0005662514156285391</v>
      </c>
      <c r="G759" t="s">
        <v>11</v>
      </c>
      <c r="H759" s="3">
        <f>0.6/357.8</f>
        <v>0.0016769144773616544</v>
      </c>
    </row>
    <row r="760" spans="5:8" ht="12.75">
      <c r="E760" s="1">
        <f>SUM(E755:E759)</f>
        <v>0.9999999999999999</v>
      </c>
      <c r="H760" s="1">
        <f>SUM(H755:H759)</f>
        <v>0.9999999999999999</v>
      </c>
    </row>
    <row r="761" spans="1:2" ht="12.75">
      <c r="A761" s="22">
        <v>387</v>
      </c>
      <c r="B761" s="22"/>
    </row>
    <row r="762" spans="1:8" ht="12.75">
      <c r="A762" t="s">
        <v>3</v>
      </c>
      <c r="B762" s="4">
        <f>275/361.7</f>
        <v>0.7602985899917059</v>
      </c>
      <c r="D762" s="22">
        <v>395</v>
      </c>
      <c r="E762" s="22"/>
      <c r="G762" s="22">
        <v>403</v>
      </c>
      <c r="H762" s="22"/>
    </row>
    <row r="763" spans="1:8" ht="12.75">
      <c r="A763" t="s">
        <v>1</v>
      </c>
      <c r="B763" s="4">
        <f>76/361.7</f>
        <v>0.21011888305225326</v>
      </c>
      <c r="D763" t="s">
        <v>3</v>
      </c>
      <c r="E763" s="4">
        <f>275/358.1</f>
        <v>0.767941915666015</v>
      </c>
      <c r="G763" t="s">
        <v>3</v>
      </c>
      <c r="H763" s="4">
        <f>275/349.8</f>
        <v>0.7861635220125786</v>
      </c>
    </row>
    <row r="764" spans="1:8" ht="12.75">
      <c r="A764" t="s">
        <v>2</v>
      </c>
      <c r="B764" s="4">
        <f>10.6/361.7</f>
        <v>0.02930605474149848</v>
      </c>
      <c r="D764" t="s">
        <v>1</v>
      </c>
      <c r="E764" s="4">
        <f>70/358.1</f>
        <v>0.1954761239877129</v>
      </c>
      <c r="G764" t="s">
        <v>1</v>
      </c>
      <c r="H764" s="4">
        <f>70/349.8</f>
        <v>0.20011435105774728</v>
      </c>
    </row>
    <row r="765" spans="1:8" ht="13.5" thickBot="1">
      <c r="A765" t="s">
        <v>19</v>
      </c>
      <c r="B765" s="3">
        <f>0.1/361.7</f>
        <v>0.0002764722145424385</v>
      </c>
      <c r="D765" t="s">
        <v>2</v>
      </c>
      <c r="E765" s="4">
        <f>13/358.1</f>
        <v>0.03630270874057526</v>
      </c>
      <c r="G765" t="s">
        <v>6</v>
      </c>
      <c r="H765" s="4">
        <f>2.2/349.8</f>
        <v>0.006289308176100629</v>
      </c>
    </row>
    <row r="766" spans="2:8" ht="12" customHeight="1" thickBot="1">
      <c r="B766" s="1">
        <f>SUM(B762:B765)</f>
        <v>1</v>
      </c>
      <c r="D766" t="s">
        <v>19</v>
      </c>
      <c r="E766" s="3">
        <f>0.1/358.1</f>
        <v>0.00027925160569673273</v>
      </c>
      <c r="G766" t="s">
        <v>2</v>
      </c>
      <c r="H766" s="4">
        <f>1.6/349.8</f>
        <v>0.004574042309891366</v>
      </c>
    </row>
    <row r="767" spans="5:8" ht="12" customHeight="1" thickBot="1">
      <c r="E767" s="1">
        <f>SUM(E763:E766)</f>
        <v>1</v>
      </c>
      <c r="G767" t="s">
        <v>11</v>
      </c>
      <c r="H767" s="3">
        <f>1/349.8</f>
        <v>0.002858776443682104</v>
      </c>
    </row>
    <row r="768" spans="1:8" ht="12.75">
      <c r="A768" s="22">
        <v>388</v>
      </c>
      <c r="B768" s="22"/>
      <c r="H768" s="1">
        <f>SUM(H763:H767)</f>
        <v>1</v>
      </c>
    </row>
    <row r="769" spans="1:5" ht="12.75">
      <c r="A769" t="s">
        <v>3</v>
      </c>
      <c r="B769" s="4">
        <f>275/341.2</f>
        <v>0.805978898007034</v>
      </c>
      <c r="D769" s="22">
        <v>396</v>
      </c>
      <c r="E769" s="22"/>
    </row>
    <row r="770" spans="1:8" ht="12.75">
      <c r="A770" t="s">
        <v>1</v>
      </c>
      <c r="B770" s="4">
        <f>54/341.2</f>
        <v>0.15826494724501758</v>
      </c>
      <c r="D770" t="s">
        <v>3</v>
      </c>
      <c r="E770" s="4">
        <f>275/355.2</f>
        <v>0.7742117117117118</v>
      </c>
      <c r="G770" s="22">
        <v>404</v>
      </c>
      <c r="H770" s="22"/>
    </row>
    <row r="771" spans="1:8" ht="12.75">
      <c r="A771" t="s">
        <v>2</v>
      </c>
      <c r="B771" s="4">
        <f>12/341.2</f>
        <v>0.035169988276670575</v>
      </c>
      <c r="D771" t="s">
        <v>1</v>
      </c>
      <c r="E771" s="4">
        <f>55/355.2</f>
        <v>0.15484234234234234</v>
      </c>
      <c r="G771" t="s">
        <v>3</v>
      </c>
      <c r="H771" s="4">
        <f>275/361.4</f>
        <v>0.7609297177642502</v>
      </c>
    </row>
    <row r="772" spans="1:8" ht="13.5" thickBot="1">
      <c r="A772" t="s">
        <v>19</v>
      </c>
      <c r="B772" s="3">
        <f>0.2/341.2</f>
        <v>0.000586166471277843</v>
      </c>
      <c r="D772" t="s">
        <v>2</v>
      </c>
      <c r="E772" s="4">
        <f>25/355.2</f>
        <v>0.07038288288288289</v>
      </c>
      <c r="G772" t="s">
        <v>1</v>
      </c>
      <c r="H772" s="4">
        <f>74/361.4</f>
        <v>0.20475926950747095</v>
      </c>
    </row>
    <row r="773" spans="2:8" ht="13.5" thickBot="1">
      <c r="B773" s="1">
        <f>SUM(B769:B772)</f>
        <v>1</v>
      </c>
      <c r="D773" t="s">
        <v>19</v>
      </c>
      <c r="E773" s="3">
        <f>0.2/355.2</f>
        <v>0.0005630630630630631</v>
      </c>
      <c r="G773" t="s">
        <v>2</v>
      </c>
      <c r="H773" s="4">
        <f>5/361.4</f>
        <v>0.013835085777531822</v>
      </c>
    </row>
    <row r="774" spans="5:8" ht="12.75">
      <c r="E774" s="1">
        <f>SUM(E770:E773)</f>
        <v>1</v>
      </c>
      <c r="G774" t="s">
        <v>6</v>
      </c>
      <c r="H774" s="4">
        <f>4.8/361.4</f>
        <v>0.013281682346430549</v>
      </c>
    </row>
    <row r="775" spans="1:8" ht="13.5" thickBot="1">
      <c r="A775" s="22">
        <v>389</v>
      </c>
      <c r="B775" s="22"/>
      <c r="G775" t="s">
        <v>11</v>
      </c>
      <c r="H775" s="3">
        <f>2.6/361.4</f>
        <v>0.007194244604316547</v>
      </c>
    </row>
    <row r="776" spans="1:8" ht="12.75">
      <c r="A776" t="s">
        <v>3</v>
      </c>
      <c r="B776" s="4">
        <f>275/352.8</f>
        <v>0.7794784580498866</v>
      </c>
      <c r="D776" s="22">
        <v>397</v>
      </c>
      <c r="E776" s="22"/>
      <c r="H776" s="1">
        <f>SUM(H771:H775)</f>
        <v>1</v>
      </c>
    </row>
    <row r="777" spans="1:5" ht="12.75">
      <c r="A777" t="s">
        <v>1</v>
      </c>
      <c r="B777" s="4">
        <f>59/352.8</f>
        <v>0.16723356009070295</v>
      </c>
      <c r="D777" t="s">
        <v>3</v>
      </c>
      <c r="E777" s="4">
        <f>275/315.2</f>
        <v>0.8724619289340102</v>
      </c>
    </row>
    <row r="778" spans="1:8" ht="12.75">
      <c r="A778" t="s">
        <v>2</v>
      </c>
      <c r="B778" s="4">
        <f>18.4/352.8</f>
        <v>0.05215419501133786</v>
      </c>
      <c r="D778" t="s">
        <v>2</v>
      </c>
      <c r="E778" s="4">
        <f>36/315.2</f>
        <v>0.11421319796954316</v>
      </c>
      <c r="G778" s="22">
        <v>405</v>
      </c>
      <c r="H778" s="22"/>
    </row>
    <row r="779" spans="1:8" ht="12" customHeight="1" thickBot="1">
      <c r="A779" t="s">
        <v>19</v>
      </c>
      <c r="B779" s="3">
        <f>0.4/352.8</f>
        <v>0.0011337868480725624</v>
      </c>
      <c r="D779" t="s">
        <v>1</v>
      </c>
      <c r="E779" s="4">
        <f>4/315.2</f>
        <v>0.012690355329949238</v>
      </c>
      <c r="G779" t="s">
        <v>3</v>
      </c>
      <c r="H779" s="4">
        <f>275/341.2</f>
        <v>0.805978898007034</v>
      </c>
    </row>
    <row r="780" spans="2:8" ht="12" customHeight="1">
      <c r="B780" s="4">
        <f>SUM(B776:B779)</f>
        <v>0.9999999999999999</v>
      </c>
      <c r="D780" t="s">
        <v>6</v>
      </c>
      <c r="E780" s="4">
        <f>0.1/315.2</f>
        <v>0.000317258883248731</v>
      </c>
      <c r="G780" t="s">
        <v>1</v>
      </c>
      <c r="H780" s="4">
        <f>44/341.2</f>
        <v>0.12895662368112545</v>
      </c>
    </row>
    <row r="781" spans="4:8" ht="13.5" thickBot="1">
      <c r="D781" t="s">
        <v>19</v>
      </c>
      <c r="E781" s="3">
        <f>0.1/315.2</f>
        <v>0.000317258883248731</v>
      </c>
      <c r="G781" t="s">
        <v>2</v>
      </c>
      <c r="H781" s="4">
        <f>9.4/341.2</f>
        <v>0.02754982415005862</v>
      </c>
    </row>
    <row r="782" spans="1:8" ht="12" customHeight="1">
      <c r="A782" s="22">
        <v>390</v>
      </c>
      <c r="B782" s="22"/>
      <c r="E782" s="1">
        <f>SUM(E777:E781)</f>
        <v>1</v>
      </c>
      <c r="G782" t="s">
        <v>6</v>
      </c>
      <c r="H782" s="4">
        <f>7.4/341.2</f>
        <v>0.02168815943728019</v>
      </c>
    </row>
    <row r="783" spans="1:8" ht="13.5" thickBot="1">
      <c r="A783" t="s">
        <v>3</v>
      </c>
      <c r="B783" s="4">
        <f>275/323</f>
        <v>0.8513931888544891</v>
      </c>
      <c r="G783" t="s">
        <v>11</v>
      </c>
      <c r="H783" s="3">
        <f>5.4/341.2</f>
        <v>0.01582649472450176</v>
      </c>
    </row>
    <row r="784" spans="1:8" ht="12.75">
      <c r="A784" t="s">
        <v>1</v>
      </c>
      <c r="B784" s="4">
        <f>28/323</f>
        <v>0.08668730650154799</v>
      </c>
      <c r="D784" s="22">
        <v>398</v>
      </c>
      <c r="E784" s="22"/>
      <c r="H784" s="1">
        <f>SUM(H779:H783)</f>
        <v>1</v>
      </c>
    </row>
    <row r="785" spans="1:5" ht="12.75">
      <c r="A785" t="s">
        <v>2</v>
      </c>
      <c r="B785" s="4">
        <f>19.6/323</f>
        <v>0.0606811145510836</v>
      </c>
      <c r="D785" t="s">
        <v>3</v>
      </c>
      <c r="E785" s="4">
        <f>275/319.4</f>
        <v>0.8609893550407014</v>
      </c>
    </row>
    <row r="786" spans="1:8" ht="12" customHeight="1">
      <c r="A786" t="s">
        <v>19</v>
      </c>
      <c r="B786" s="4">
        <f>0.3/323</f>
        <v>0.0009287925696594427</v>
      </c>
      <c r="D786" t="s">
        <v>2</v>
      </c>
      <c r="E786" s="4">
        <f>40/319.4</f>
        <v>0.12523481527864747</v>
      </c>
      <c r="G786" s="22">
        <v>406</v>
      </c>
      <c r="H786" s="22"/>
    </row>
    <row r="787" spans="1:8" ht="13.5" thickBot="1">
      <c r="A787" t="s">
        <v>6</v>
      </c>
      <c r="B787" s="3">
        <f>0.1/323</f>
        <v>0.00030959752321981426</v>
      </c>
      <c r="D787" t="s">
        <v>1</v>
      </c>
      <c r="E787" s="4">
        <f>4/319.4</f>
        <v>0.012523481527864748</v>
      </c>
      <c r="G787" t="s">
        <v>3</v>
      </c>
      <c r="H787" s="4">
        <f>275/356.5</f>
        <v>0.7713884992987378</v>
      </c>
    </row>
    <row r="788" spans="2:8" ht="13.5" thickBot="1">
      <c r="B788" s="1">
        <f>SUM(B783:B787)</f>
        <v>1</v>
      </c>
      <c r="D788" t="s">
        <v>6</v>
      </c>
      <c r="E788" s="3">
        <f>0.4/319.4</f>
        <v>0.0012523481527864748</v>
      </c>
      <c r="G788" t="s">
        <v>1</v>
      </c>
      <c r="H788" s="4">
        <f>80/356.5</f>
        <v>0.2244039270687237</v>
      </c>
    </row>
    <row r="789" spans="5:8" ht="12" customHeight="1">
      <c r="E789" s="1">
        <f>SUM(E785:E788)</f>
        <v>1</v>
      </c>
      <c r="G789" t="s">
        <v>5</v>
      </c>
      <c r="H789" s="4">
        <f>1/356.5</f>
        <v>0.002805049088359046</v>
      </c>
    </row>
    <row r="790" spans="1:8" ht="12.75">
      <c r="A790" s="22">
        <v>391</v>
      </c>
      <c r="B790" s="22"/>
      <c r="G790" t="s">
        <v>6</v>
      </c>
      <c r="H790" s="4">
        <f>0.3/356.5</f>
        <v>0.0008415147265077138</v>
      </c>
    </row>
    <row r="791" spans="1:8" ht="13.5" thickBot="1">
      <c r="A791" t="s">
        <v>3</v>
      </c>
      <c r="B791" s="4">
        <f>275/322</f>
        <v>0.8540372670807453</v>
      </c>
      <c r="D791" s="22">
        <v>399</v>
      </c>
      <c r="E791" s="22"/>
      <c r="G791" t="s">
        <v>7</v>
      </c>
      <c r="H791" s="3">
        <f>0.2/356.5</f>
        <v>0.0005610098176718093</v>
      </c>
    </row>
    <row r="792" spans="1:8" ht="12.75">
      <c r="A792" t="s">
        <v>2</v>
      </c>
      <c r="B792" s="4">
        <f>26/322</f>
        <v>0.08074534161490683</v>
      </c>
      <c r="D792" t="s">
        <v>3</v>
      </c>
      <c r="E792" s="4">
        <f>275/313.8</f>
        <v>0.8763543658381134</v>
      </c>
      <c r="H792" s="1">
        <f>SUM(H787:H791)</f>
        <v>1</v>
      </c>
    </row>
    <row r="793" spans="1:5" ht="12" customHeight="1">
      <c r="A793" t="s">
        <v>1</v>
      </c>
      <c r="B793" s="4">
        <f>20/322</f>
        <v>0.062111801242236024</v>
      </c>
      <c r="D793" t="s">
        <v>2</v>
      </c>
      <c r="E793" s="4">
        <f>34/313.8</f>
        <v>0.10834926704907584</v>
      </c>
    </row>
    <row r="794" spans="1:8" ht="12" customHeight="1" thickBot="1">
      <c r="A794" t="s">
        <v>6</v>
      </c>
      <c r="B794" s="3">
        <f>1/322</f>
        <v>0.003105590062111801</v>
      </c>
      <c r="D794" t="s">
        <v>1</v>
      </c>
      <c r="E794" s="4">
        <f>4/313.8</f>
        <v>0.012746972594008922</v>
      </c>
      <c r="G794" s="22">
        <v>407</v>
      </c>
      <c r="H794" s="22"/>
    </row>
    <row r="795" spans="2:8" ht="12" customHeight="1">
      <c r="B795" s="1">
        <f>SUM(B791:B794)</f>
        <v>1</v>
      </c>
      <c r="D795" t="s">
        <v>6</v>
      </c>
      <c r="E795" s="4">
        <f>0.6/313.8</f>
        <v>0.0019120458891013384</v>
      </c>
      <c r="G795" t="s">
        <v>3</v>
      </c>
      <c r="H795" s="4">
        <f>275/366.8</f>
        <v>0.7497273718647764</v>
      </c>
    </row>
    <row r="796" spans="4:8" ht="11.25" customHeight="1" thickBot="1">
      <c r="D796" t="s">
        <v>11</v>
      </c>
      <c r="E796" s="3">
        <f>0.2/313.8</f>
        <v>0.0006373486297004461</v>
      </c>
      <c r="G796" t="s">
        <v>1</v>
      </c>
      <c r="H796" s="4">
        <f>84/366.8</f>
        <v>0.22900763358778625</v>
      </c>
    </row>
    <row r="797" spans="1:8" ht="12" customHeight="1">
      <c r="A797" s="22">
        <v>392</v>
      </c>
      <c r="B797" s="22"/>
      <c r="E797" s="1">
        <f>SUM(E792:E796)</f>
        <v>1</v>
      </c>
      <c r="G797" t="s">
        <v>5</v>
      </c>
      <c r="H797" s="4">
        <f>6/366.8</f>
        <v>0.016357688113413305</v>
      </c>
    </row>
    <row r="798" spans="1:8" ht="12.75">
      <c r="A798" t="s">
        <v>3</v>
      </c>
      <c r="B798" s="4">
        <f>275/327</f>
        <v>0.8409785932721713</v>
      </c>
      <c r="G798" t="s">
        <v>6</v>
      </c>
      <c r="H798" s="4">
        <f>1/366.8</f>
        <v>0.0027262813522355507</v>
      </c>
    </row>
    <row r="799" spans="1:8" ht="13.5" thickBot="1">
      <c r="A799" t="s">
        <v>2</v>
      </c>
      <c r="B799" s="4">
        <f>32/327</f>
        <v>0.09785932721712538</v>
      </c>
      <c r="D799" s="22">
        <v>400</v>
      </c>
      <c r="E799" s="22"/>
      <c r="G799" t="s">
        <v>7</v>
      </c>
      <c r="H799" s="3">
        <f>0.8/366.8</f>
        <v>0.0021810250817884407</v>
      </c>
    </row>
    <row r="800" spans="1:8" ht="12.75">
      <c r="A800" t="s">
        <v>1</v>
      </c>
      <c r="B800" s="4">
        <f>18/327</f>
        <v>0.05504587155963303</v>
      </c>
      <c r="D800" t="s">
        <v>3</v>
      </c>
      <c r="E800" s="4">
        <f>275/362.6</f>
        <v>0.7584114726971869</v>
      </c>
      <c r="H800" s="1">
        <f>SUM(H795:H799)</f>
        <v>1</v>
      </c>
    </row>
    <row r="801" spans="1:5" ht="12" customHeight="1">
      <c r="A801" t="s">
        <v>6</v>
      </c>
      <c r="B801" s="4">
        <f>1.8/327</f>
        <v>0.005504587155963303</v>
      </c>
      <c r="D801" t="s">
        <v>1</v>
      </c>
      <c r="E801" s="4">
        <f>84/362.6</f>
        <v>0.23166023166023164</v>
      </c>
    </row>
    <row r="802" spans="1:8" ht="13.5" thickBot="1">
      <c r="A802" t="s">
        <v>7</v>
      </c>
      <c r="B802" s="3">
        <f>0.2/327</f>
        <v>0.0006116207951070337</v>
      </c>
      <c r="D802" t="s">
        <v>2</v>
      </c>
      <c r="E802" s="4">
        <f>2.4/362.6</f>
        <v>0.006618863761720904</v>
      </c>
      <c r="G802" s="22">
        <v>408</v>
      </c>
      <c r="H802" s="22"/>
    </row>
    <row r="803" spans="2:8" ht="12" customHeight="1">
      <c r="B803" s="1">
        <f>SUM(B798:B802)</f>
        <v>1</v>
      </c>
      <c r="D803" t="s">
        <v>15</v>
      </c>
      <c r="E803" s="4">
        <f>0.8/362.6</f>
        <v>0.002206287920573635</v>
      </c>
      <c r="G803" t="s">
        <v>3</v>
      </c>
      <c r="H803" s="4">
        <f>275/363.4</f>
        <v>0.7567418822234453</v>
      </c>
    </row>
    <row r="804" spans="4:8" ht="12" customHeight="1" thickBot="1">
      <c r="D804" t="s">
        <v>6</v>
      </c>
      <c r="E804" s="3">
        <f>0.4/362.6</f>
        <v>0.0011031439602868175</v>
      </c>
      <c r="G804" t="s">
        <v>1</v>
      </c>
      <c r="H804" s="4">
        <f>80/363.4</f>
        <v>0.22014309301045681</v>
      </c>
    </row>
    <row r="805" spans="1:8" ht="12" customHeight="1">
      <c r="A805" s="22">
        <v>393</v>
      </c>
      <c r="B805" s="22"/>
      <c r="E805" s="1">
        <f>SUM(E800:E804)</f>
        <v>0.9999999999999999</v>
      </c>
      <c r="G805" t="s">
        <v>5</v>
      </c>
      <c r="H805" s="4">
        <f>6/363.4</f>
        <v>0.01651073197578426</v>
      </c>
    </row>
    <row r="806" spans="1:8" ht="12.75">
      <c r="A806" t="s">
        <v>3</v>
      </c>
      <c r="B806" s="4">
        <f>275/367.1</f>
        <v>0.7491146826477798</v>
      </c>
      <c r="G806" t="s">
        <v>6</v>
      </c>
      <c r="H806" s="4">
        <f>1.4/363.4</f>
        <v>0.003852504127682994</v>
      </c>
    </row>
    <row r="807" spans="1:8" ht="11.25" customHeight="1" thickBot="1">
      <c r="A807" t="s">
        <v>1</v>
      </c>
      <c r="B807" s="4">
        <f>90/367.1</f>
        <v>0.2451648052301825</v>
      </c>
      <c r="D807" s="22">
        <v>401</v>
      </c>
      <c r="E807" s="22"/>
      <c r="G807" t="s">
        <v>7</v>
      </c>
      <c r="H807" s="3">
        <f>1/363.4</f>
        <v>0.00275178866263071</v>
      </c>
    </row>
    <row r="808" spans="1:8" ht="12" customHeight="1">
      <c r="A808" t="s">
        <v>2</v>
      </c>
      <c r="B808" s="4">
        <f>2/367.1</f>
        <v>0.005448106782892944</v>
      </c>
      <c r="D808" t="s">
        <v>3</v>
      </c>
      <c r="E808" s="4">
        <f>275/362</f>
        <v>0.7596685082872928</v>
      </c>
      <c r="H808" s="1">
        <f>SUM(H803:H807)</f>
        <v>1.0000000000000002</v>
      </c>
    </row>
    <row r="809" spans="1:5" ht="12" customHeight="1" thickBot="1">
      <c r="A809" t="s">
        <v>75</v>
      </c>
      <c r="B809" s="3">
        <f>0.1/367.1</f>
        <v>0.00027240533914464724</v>
      </c>
      <c r="D809" t="s">
        <v>1</v>
      </c>
      <c r="E809" s="4">
        <f>80/362</f>
        <v>0.22099447513812154</v>
      </c>
    </row>
    <row r="810" spans="2:8" ht="12.75">
      <c r="B810" s="1">
        <f>SUM(B806:B809)</f>
        <v>0.9999999999999999</v>
      </c>
      <c r="D810" t="s">
        <v>5</v>
      </c>
      <c r="E810" s="4">
        <f>6/362</f>
        <v>0.016574585635359115</v>
      </c>
      <c r="G810" s="22">
        <v>409</v>
      </c>
      <c r="H810" s="22"/>
    </row>
    <row r="811" spans="4:8" ht="12.75" customHeight="1">
      <c r="D811" t="s">
        <v>11</v>
      </c>
      <c r="E811" s="4">
        <f>0.6/362</f>
        <v>0.0016574585635359116</v>
      </c>
      <c r="G811" t="s">
        <v>3</v>
      </c>
      <c r="H811" s="4">
        <f>275/365.8</f>
        <v>0.7517769272826681</v>
      </c>
    </row>
    <row r="812" spans="4:8" ht="12" customHeight="1" thickBot="1">
      <c r="D812" t="s">
        <v>6</v>
      </c>
      <c r="E812" s="3">
        <f>0.4/362</f>
        <v>0.0011049723756906078</v>
      </c>
      <c r="G812" t="s">
        <v>1</v>
      </c>
      <c r="H812" s="4">
        <f>85/365.8</f>
        <v>0.23236741388737014</v>
      </c>
    </row>
    <row r="813" spans="5:8" ht="12" customHeight="1">
      <c r="E813" s="1">
        <f>SUM(E808:E812)</f>
        <v>1</v>
      </c>
      <c r="G813" t="s">
        <v>26</v>
      </c>
      <c r="H813" s="4">
        <f>2.8/365.8</f>
        <v>0.007654455986878075</v>
      </c>
    </row>
    <row r="814" spans="7:8" ht="12" customHeight="1">
      <c r="G814" t="s">
        <v>7</v>
      </c>
      <c r="H814" s="4">
        <f>1.8/365.8</f>
        <v>0.004920721705850191</v>
      </c>
    </row>
    <row r="815" spans="7:8" ht="12" customHeight="1" thickBot="1">
      <c r="G815" t="s">
        <v>2</v>
      </c>
      <c r="H815" s="3">
        <f>1.2/365.8</f>
        <v>0.0032804811372334607</v>
      </c>
    </row>
    <row r="816" ht="12" customHeight="1">
      <c r="H816" s="1">
        <f>SUM(H811:H815)</f>
        <v>1</v>
      </c>
    </row>
    <row r="817" spans="1:8" ht="12.75">
      <c r="A817" s="22">
        <v>410</v>
      </c>
      <c r="B817" s="22"/>
      <c r="D817" s="22">
        <v>418</v>
      </c>
      <c r="E817" s="22"/>
      <c r="G817" s="22">
        <v>426</v>
      </c>
      <c r="H817" s="22"/>
    </row>
    <row r="818" spans="1:8" ht="12.75">
      <c r="A818" t="s">
        <v>3</v>
      </c>
      <c r="B818" s="4">
        <f>275/358.4</f>
        <v>0.7672991071428572</v>
      </c>
      <c r="D818" t="s">
        <v>3</v>
      </c>
      <c r="E818" s="4">
        <f>275/343</f>
        <v>0.8017492711370262</v>
      </c>
      <c r="G818" s="7" t="s">
        <v>3</v>
      </c>
      <c r="H818" s="8">
        <f>275/333</f>
        <v>0.8258258258258259</v>
      </c>
    </row>
    <row r="819" spans="1:8" ht="12.75">
      <c r="A819" t="s">
        <v>1</v>
      </c>
      <c r="B819" s="4">
        <f>72/358.4</f>
        <v>0.20089285714285715</v>
      </c>
      <c r="D819" t="s">
        <v>1</v>
      </c>
      <c r="E819" s="4">
        <f>49/343</f>
        <v>0.14285714285714285</v>
      </c>
      <c r="G819" t="s">
        <v>75</v>
      </c>
      <c r="H819" s="8">
        <f>38/333</f>
        <v>0.11411411411411411</v>
      </c>
    </row>
    <row r="820" spans="1:8" ht="12.75">
      <c r="A820" t="s">
        <v>26</v>
      </c>
      <c r="B820" s="4">
        <f>5.4/358.4</f>
        <v>0.015066964285714288</v>
      </c>
      <c r="D820" t="s">
        <v>6</v>
      </c>
      <c r="E820" s="4">
        <f>11.2/343</f>
        <v>0.03265306122448979</v>
      </c>
      <c r="G820" t="s">
        <v>26</v>
      </c>
      <c r="H820" s="8">
        <f>16/333</f>
        <v>0.04804804804804805</v>
      </c>
    </row>
    <row r="821" spans="1:8" ht="13.5" thickBot="1">
      <c r="A821" t="s">
        <v>7</v>
      </c>
      <c r="B821" s="4">
        <f>3.8/358.4</f>
        <v>0.010602678571428572</v>
      </c>
      <c r="D821" t="s">
        <v>2</v>
      </c>
      <c r="E821" s="3">
        <f>7.8/343</f>
        <v>0.022740524781341108</v>
      </c>
      <c r="G821" t="s">
        <v>1</v>
      </c>
      <c r="H821" s="8">
        <f>2/333</f>
        <v>0.006006006006006006</v>
      </c>
    </row>
    <row r="822" spans="1:8" ht="13.5" thickBot="1">
      <c r="A822" t="s">
        <v>2</v>
      </c>
      <c r="B822" s="3">
        <f>2.2/358.4</f>
        <v>0.006138392857142858</v>
      </c>
      <c r="E822" s="1">
        <f>SUM(E818:E821)</f>
        <v>0.9999999999999999</v>
      </c>
      <c r="G822" t="s">
        <v>2</v>
      </c>
      <c r="H822" s="11">
        <f>2/333</f>
        <v>0.006006006006006006</v>
      </c>
    </row>
    <row r="823" spans="2:8" ht="12.75">
      <c r="B823" s="1">
        <f>SUM(B818:B822)</f>
        <v>1.0000000000000002</v>
      </c>
      <c r="H823" s="1">
        <f>SUM(H818:H822)</f>
        <v>1</v>
      </c>
    </row>
    <row r="824" spans="4:5" ht="12.75">
      <c r="D824" s="22">
        <v>419</v>
      </c>
      <c r="E824" s="22"/>
    </row>
    <row r="825" spans="1:8" ht="12.75">
      <c r="A825" s="22">
        <v>411</v>
      </c>
      <c r="B825" s="22"/>
      <c r="D825" t="s">
        <v>3</v>
      </c>
      <c r="E825" s="4">
        <f>275/313.2</f>
        <v>0.8780332056194126</v>
      </c>
      <c r="G825" s="22">
        <v>427</v>
      </c>
      <c r="H825" s="22"/>
    </row>
    <row r="826" spans="1:8" ht="12.75">
      <c r="A826" t="s">
        <v>3</v>
      </c>
      <c r="B826" s="4">
        <f>275/341.6</f>
        <v>0.8050351288056206</v>
      </c>
      <c r="D826" t="s">
        <v>6</v>
      </c>
      <c r="E826" s="4">
        <f>26.8/313.2</f>
        <v>0.0855683269476373</v>
      </c>
      <c r="G826" s="7" t="s">
        <v>3</v>
      </c>
      <c r="H826" s="8">
        <f>275/365.4</f>
        <v>0.752599890530925</v>
      </c>
    </row>
    <row r="827" spans="1:8" ht="12.75">
      <c r="A827" t="s">
        <v>1</v>
      </c>
      <c r="B827" s="4">
        <f>48/341.6</f>
        <v>0.1405152224824356</v>
      </c>
      <c r="D827" t="s">
        <v>2</v>
      </c>
      <c r="E827" s="4">
        <f>7.4/313.2</f>
        <v>0.023627075351213285</v>
      </c>
      <c r="G827" t="s">
        <v>1</v>
      </c>
      <c r="H827" s="8">
        <f>90/365.4</f>
        <v>0.24630541871921183</v>
      </c>
    </row>
    <row r="828" spans="1:8" ht="13.5" thickBot="1">
      <c r="A828" t="s">
        <v>26</v>
      </c>
      <c r="B828" s="4">
        <f>9.8/341.6</f>
        <v>0.028688524590163935</v>
      </c>
      <c r="D828" t="s">
        <v>1</v>
      </c>
      <c r="E828" s="3">
        <f>4/313.2</f>
        <v>0.01277139208173691</v>
      </c>
      <c r="G828" t="s">
        <v>5</v>
      </c>
      <c r="H828" s="8">
        <f>0.2/365.4</f>
        <v>0.0005473453749315818</v>
      </c>
    </row>
    <row r="829" spans="1:8" ht="13.5" thickBot="1">
      <c r="A829" t="s">
        <v>7</v>
      </c>
      <c r="B829" s="4">
        <f>6.2/341.6</f>
        <v>0.018149882903981264</v>
      </c>
      <c r="E829" s="1">
        <f>SUM(E825:E828)</f>
        <v>1</v>
      </c>
      <c r="G829" t="s">
        <v>26</v>
      </c>
      <c r="H829" s="11">
        <f>0.2/365.4</f>
        <v>0.0005473453749315818</v>
      </c>
    </row>
    <row r="830" spans="1:8" ht="13.5" thickBot="1">
      <c r="A830" t="s">
        <v>2</v>
      </c>
      <c r="B830" s="3">
        <f>2.6/341.6</f>
        <v>0.007611241217798595</v>
      </c>
      <c r="H830" s="1">
        <f>SUM(H826:H829)</f>
        <v>1</v>
      </c>
    </row>
    <row r="831" spans="2:5" ht="12.75">
      <c r="B831" s="1">
        <f>SUM(B826:B830)</f>
        <v>0.9999999999999998</v>
      </c>
      <c r="D831" s="22">
        <v>420</v>
      </c>
      <c r="E831" s="22"/>
    </row>
    <row r="832" spans="4:8" ht="12.75">
      <c r="D832" t="s">
        <v>3</v>
      </c>
      <c r="E832" s="4">
        <f>275/366.7</f>
        <v>0.7499318243796019</v>
      </c>
      <c r="G832" s="22">
        <v>428</v>
      </c>
      <c r="H832" s="22"/>
    </row>
    <row r="833" spans="1:8" ht="12.75">
      <c r="A833" s="22">
        <v>412</v>
      </c>
      <c r="B833" s="22"/>
      <c r="D833" t="s">
        <v>1</v>
      </c>
      <c r="E833" s="4">
        <f>90/366.7</f>
        <v>0.24543223343332424</v>
      </c>
      <c r="G833" s="7" t="s">
        <v>3</v>
      </c>
      <c r="H833" s="8">
        <f>275/370.8</f>
        <v>0.7416396979503775</v>
      </c>
    </row>
    <row r="834" spans="1:8" ht="12.75">
      <c r="A834" t="s">
        <v>24</v>
      </c>
      <c r="B834" s="4">
        <f>275/322</f>
        <v>0.8540372670807453</v>
      </c>
      <c r="D834" t="s">
        <v>5</v>
      </c>
      <c r="E834" s="4">
        <f>1.2/366.7</f>
        <v>0.00327242977911099</v>
      </c>
      <c r="G834" t="s">
        <v>1</v>
      </c>
      <c r="H834" s="8">
        <f>95/370.8</f>
        <v>0.25620280474649404</v>
      </c>
    </row>
    <row r="835" spans="1:8" ht="12.75">
      <c r="A835" t="s">
        <v>6</v>
      </c>
      <c r="B835" s="4">
        <f>19.2/322</f>
        <v>0.05962732919254658</v>
      </c>
      <c r="D835" t="s">
        <v>6</v>
      </c>
      <c r="E835" s="4">
        <f>0.4/366.7</f>
        <v>0.0010908099263703301</v>
      </c>
      <c r="G835" t="s">
        <v>5</v>
      </c>
      <c r="H835" s="8">
        <f>0.4/370.8</f>
        <v>0.0010787486515641857</v>
      </c>
    </row>
    <row r="836" spans="1:8" ht="13.5" thickBot="1">
      <c r="A836" t="s">
        <v>7</v>
      </c>
      <c r="B836" s="4">
        <f>15.6/322</f>
        <v>0.0484472049689441</v>
      </c>
      <c r="D836" t="s">
        <v>7</v>
      </c>
      <c r="E836" s="3">
        <f>0.1/366.7</f>
        <v>0.00027270248159258254</v>
      </c>
      <c r="G836" t="s">
        <v>26</v>
      </c>
      <c r="H836" s="11">
        <f>0.4/370.8</f>
        <v>0.0010787486515641857</v>
      </c>
    </row>
    <row r="837" spans="1:8" ht="12.75">
      <c r="A837" t="s">
        <v>1</v>
      </c>
      <c r="B837" s="4">
        <f>9/322</f>
        <v>0.027950310559006212</v>
      </c>
      <c r="E837" s="1">
        <f>SUM(E832:E836)</f>
        <v>1</v>
      </c>
      <c r="H837" s="1">
        <f>SUM(H833:H836)</f>
        <v>1</v>
      </c>
    </row>
    <row r="838" spans="1:2" ht="13.5" thickBot="1">
      <c r="A838" t="s">
        <v>2</v>
      </c>
      <c r="B838" s="3">
        <f>3.2/322</f>
        <v>0.009937888198757764</v>
      </c>
    </row>
    <row r="839" spans="2:8" ht="12.75">
      <c r="B839" s="1">
        <f>SUM(B834:B838)</f>
        <v>0.9999999999999999</v>
      </c>
      <c r="D839" s="22">
        <v>421</v>
      </c>
      <c r="E839" s="22"/>
      <c r="G839" s="22">
        <v>429</v>
      </c>
      <c r="H839" s="22"/>
    </row>
    <row r="840" spans="4:8" ht="12.75">
      <c r="D840" t="s">
        <v>3</v>
      </c>
      <c r="E840" s="4">
        <f>275/368.6</f>
        <v>0.7460661964188822</v>
      </c>
      <c r="G840" s="7" t="s">
        <v>3</v>
      </c>
      <c r="H840" s="8">
        <f>275/367.2</f>
        <v>0.7489106753812637</v>
      </c>
    </row>
    <row r="841" spans="1:8" ht="12.75">
      <c r="A841" s="22">
        <v>413</v>
      </c>
      <c r="B841" s="22"/>
      <c r="D841" t="s">
        <v>1</v>
      </c>
      <c r="E841" s="4">
        <f>90/368.6</f>
        <v>0.24416711882799783</v>
      </c>
      <c r="G841" t="s">
        <v>1</v>
      </c>
      <c r="H841" s="8">
        <f>90/367.2</f>
        <v>0.2450980392156863</v>
      </c>
    </row>
    <row r="842" spans="1:8" ht="12.75">
      <c r="A842" t="s">
        <v>3</v>
      </c>
      <c r="B842" s="4">
        <f>275/373.2</f>
        <v>0.7368703108252947</v>
      </c>
      <c r="D842" t="s">
        <v>5</v>
      </c>
      <c r="E842" s="4">
        <f>2.6/368.6</f>
        <v>0.007053716766142159</v>
      </c>
      <c r="G842" t="s">
        <v>26</v>
      </c>
      <c r="H842" s="8">
        <f>1.2/367.2</f>
        <v>0.0032679738562091504</v>
      </c>
    </row>
    <row r="843" spans="1:8" ht="13.5" thickBot="1">
      <c r="A843" t="s">
        <v>1</v>
      </c>
      <c r="B843" s="4">
        <f>90/373.2</f>
        <v>0.24115755627009647</v>
      </c>
      <c r="D843" t="s">
        <v>6</v>
      </c>
      <c r="E843" s="4">
        <f>0.8/368.6</f>
        <v>0.002170374389582203</v>
      </c>
      <c r="G843" t="s">
        <v>75</v>
      </c>
      <c r="H843" s="11">
        <f>1/367.2</f>
        <v>0.0027233115468409588</v>
      </c>
    </row>
    <row r="844" spans="1:8" ht="13.5" thickBot="1">
      <c r="A844" t="s">
        <v>5</v>
      </c>
      <c r="B844" s="4">
        <f>5.8/373.2</f>
        <v>0.015541264737406217</v>
      </c>
      <c r="D844" t="s">
        <v>7</v>
      </c>
      <c r="E844" s="3">
        <f>0.2/368.6</f>
        <v>0.0005425935973955507</v>
      </c>
      <c r="H844" s="1">
        <f>SUM(H840:H843)</f>
        <v>1</v>
      </c>
    </row>
    <row r="845" spans="1:5" ht="12.75">
      <c r="A845" t="s">
        <v>16</v>
      </c>
      <c r="B845" s="4">
        <f>1.8/373.2</f>
        <v>0.00482315112540193</v>
      </c>
      <c r="E845" s="1">
        <f>SUM(E840:E844)</f>
        <v>0.9999999999999999</v>
      </c>
    </row>
    <row r="846" spans="1:8" ht="13.5" thickBot="1">
      <c r="A846" t="s">
        <v>6</v>
      </c>
      <c r="B846" s="3">
        <f>0.6/373.2</f>
        <v>0.001607717041800643</v>
      </c>
      <c r="G846" s="22">
        <v>430</v>
      </c>
      <c r="H846" s="22"/>
    </row>
    <row r="847" spans="2:8" ht="12.75">
      <c r="B847" s="1">
        <f>SUM(B842:B846)</f>
        <v>1</v>
      </c>
      <c r="D847" s="22">
        <v>422</v>
      </c>
      <c r="E847" s="22"/>
      <c r="G847" s="7" t="s">
        <v>3</v>
      </c>
      <c r="H847" s="8">
        <f>275/371.6</f>
        <v>0.740043057050592</v>
      </c>
    </row>
    <row r="848" spans="4:8" ht="12.75">
      <c r="D848" s="7" t="s">
        <v>3</v>
      </c>
      <c r="E848" s="8">
        <f>275/338.1</f>
        <v>0.813368825791186</v>
      </c>
      <c r="G848" t="s">
        <v>1</v>
      </c>
      <c r="H848" s="8">
        <f>92/371.6</f>
        <v>0.24757804090419805</v>
      </c>
    </row>
    <row r="849" spans="1:8" ht="12.75">
      <c r="A849" s="22">
        <v>414</v>
      </c>
      <c r="B849" s="22"/>
      <c r="D849" s="7" t="s">
        <v>1</v>
      </c>
      <c r="E849" s="8">
        <f>60/338.1</f>
        <v>0.1774622892635315</v>
      </c>
      <c r="G849" t="s">
        <v>26</v>
      </c>
      <c r="H849" s="8">
        <f>3/371.6</f>
        <v>0.008073196986006458</v>
      </c>
    </row>
    <row r="850" spans="1:8" ht="12.75" customHeight="1" thickBot="1">
      <c r="A850" t="s">
        <v>3</v>
      </c>
      <c r="B850" s="4">
        <f>275/374.4</f>
        <v>0.7345085470085471</v>
      </c>
      <c r="D850" s="7" t="s">
        <v>5</v>
      </c>
      <c r="E850" s="8">
        <f>2/338.1</f>
        <v>0.005915409642117717</v>
      </c>
      <c r="G850" t="s">
        <v>5</v>
      </c>
      <c r="H850" s="11">
        <f>1.6/371.6</f>
        <v>0.004305705059203444</v>
      </c>
    </row>
    <row r="851" spans="1:8" ht="12.75" customHeight="1">
      <c r="A851" t="s">
        <v>1</v>
      </c>
      <c r="B851" s="4">
        <f>88/374.4</f>
        <v>0.23504273504273507</v>
      </c>
      <c r="D851" s="7" t="s">
        <v>6</v>
      </c>
      <c r="E851" s="8">
        <f>1/338.1</f>
        <v>0.0029577048210588583</v>
      </c>
      <c r="H851" s="1">
        <f>SUM(H847:H850)</f>
        <v>1</v>
      </c>
    </row>
    <row r="852" spans="1:5" ht="12.75" customHeight="1" thickBot="1">
      <c r="A852" t="s">
        <v>5</v>
      </c>
      <c r="B852" s="4">
        <f>10/374.4</f>
        <v>0.02670940170940171</v>
      </c>
      <c r="D852" s="7" t="s">
        <v>7</v>
      </c>
      <c r="E852" s="11">
        <f>0.1/338.1</f>
        <v>0.0002957704821058858</v>
      </c>
    </row>
    <row r="853" spans="1:8" ht="12.75" customHeight="1">
      <c r="A853" t="s">
        <v>6</v>
      </c>
      <c r="B853" s="4">
        <f>1/374.4</f>
        <v>0.002670940170940171</v>
      </c>
      <c r="D853" s="7"/>
      <c r="E853" s="10">
        <f>SUM(E848:E852)</f>
        <v>0.9999999999999999</v>
      </c>
      <c r="G853" s="22">
        <v>431</v>
      </c>
      <c r="H853" s="22"/>
    </row>
    <row r="854" spans="1:8" ht="13.5" thickBot="1">
      <c r="A854" t="s">
        <v>7</v>
      </c>
      <c r="B854" s="3">
        <f>0.4/374.4</f>
        <v>0.0010683760683760685</v>
      </c>
      <c r="G854" s="7" t="s">
        <v>3</v>
      </c>
      <c r="H854" s="8">
        <f>275/357.8</f>
        <v>0.7685858021240917</v>
      </c>
    </row>
    <row r="855" spans="2:8" ht="12.75">
      <c r="B855" s="1">
        <f>SUM(B850:B854)</f>
        <v>1.0000000000000002</v>
      </c>
      <c r="D855" s="22">
        <v>423</v>
      </c>
      <c r="E855" s="22"/>
      <c r="G855" t="s">
        <v>1</v>
      </c>
      <c r="H855" s="8">
        <f>64/357.8</f>
        <v>0.17887087758524314</v>
      </c>
    </row>
    <row r="856" spans="4:8" ht="12.75">
      <c r="D856" s="7" t="s">
        <v>3</v>
      </c>
      <c r="E856" s="8">
        <f>275/352.6</f>
        <v>0.7799205899035734</v>
      </c>
      <c r="G856" t="s">
        <v>75</v>
      </c>
      <c r="H856" s="8">
        <f>10.6/357.8</f>
        <v>0.029625489100055896</v>
      </c>
    </row>
    <row r="857" spans="1:8" ht="12.75">
      <c r="A857" s="22">
        <v>415</v>
      </c>
      <c r="B857" s="22"/>
      <c r="D857" s="7" t="s">
        <v>1</v>
      </c>
      <c r="E857" s="8">
        <f>70/352.6</f>
        <v>0.19852524106636413</v>
      </c>
      <c r="G857" t="s">
        <v>6</v>
      </c>
      <c r="H857" s="8">
        <f>7.2/357.8</f>
        <v>0.020122973728339856</v>
      </c>
    </row>
    <row r="858" spans="1:8" ht="13.5" thickBot="1">
      <c r="A858" t="s">
        <v>3</v>
      </c>
      <c r="B858" s="4">
        <f>275/368.2</f>
        <v>0.7468766974470397</v>
      </c>
      <c r="D858" s="7" t="s">
        <v>5</v>
      </c>
      <c r="E858" s="8">
        <f>5/352.6</f>
        <v>0.014180374361883153</v>
      </c>
      <c r="G858" t="s">
        <v>2</v>
      </c>
      <c r="H858" s="11">
        <f>1/357.8</f>
        <v>0.002794857462269424</v>
      </c>
    </row>
    <row r="859" spans="1:8" ht="12.75">
      <c r="A859" t="s">
        <v>1</v>
      </c>
      <c r="B859" s="4">
        <f>90/368.2</f>
        <v>0.24443237370994025</v>
      </c>
      <c r="D859" s="7" t="s">
        <v>6</v>
      </c>
      <c r="E859" s="8">
        <f>2.4/352.6</f>
        <v>0.006806579693703913</v>
      </c>
      <c r="H859" s="1">
        <f>SUM(H854:H858)</f>
        <v>0.9999999999999999</v>
      </c>
    </row>
    <row r="860" spans="1:5" ht="13.5" thickBot="1">
      <c r="A860" t="s">
        <v>6</v>
      </c>
      <c r="B860" s="4">
        <f>2.2/368.2</f>
        <v>0.005975013579576318</v>
      </c>
      <c r="D860" s="7" t="s">
        <v>7</v>
      </c>
      <c r="E860" s="11">
        <f>0.2/352.6</f>
        <v>0.0005672149744753262</v>
      </c>
    </row>
    <row r="861" spans="1:8" ht="13.5" thickBot="1">
      <c r="A861" t="s">
        <v>2</v>
      </c>
      <c r="B861" s="3">
        <f>1/368.2</f>
        <v>0.002715915263443781</v>
      </c>
      <c r="E861" s="1">
        <f>SUM(E856:E860)</f>
        <v>0.9999999999999999</v>
      </c>
      <c r="G861" s="22">
        <v>432</v>
      </c>
      <c r="H861" s="22"/>
    </row>
    <row r="862" spans="2:8" ht="12.75">
      <c r="B862" s="1">
        <f>SUM(B858:B861)</f>
        <v>1</v>
      </c>
      <c r="G862" s="7" t="s">
        <v>3</v>
      </c>
      <c r="H862" s="8">
        <f>275/340.4</f>
        <v>0.8078730904817862</v>
      </c>
    </row>
    <row r="863" spans="4:8" ht="12.75">
      <c r="D863" s="22">
        <v>424</v>
      </c>
      <c r="E863" s="22"/>
      <c r="G863" t="s">
        <v>1</v>
      </c>
      <c r="H863" s="8">
        <f>32/340.4</f>
        <v>0.09400705052878966</v>
      </c>
    </row>
    <row r="864" spans="1:8" ht="12.75">
      <c r="A864" s="22">
        <v>416</v>
      </c>
      <c r="B864" s="22"/>
      <c r="D864" s="7" t="s">
        <v>3</v>
      </c>
      <c r="E864" s="8">
        <f>275/345</f>
        <v>0.7971014492753623</v>
      </c>
      <c r="G864" t="s">
        <v>75</v>
      </c>
      <c r="H864" s="8">
        <f>19.4/340.4</f>
        <v>0.05699177438307873</v>
      </c>
    </row>
    <row r="865" spans="1:8" ht="12.75">
      <c r="A865" t="s">
        <v>3</v>
      </c>
      <c r="B865" s="4">
        <f>275/363.6</f>
        <v>0.7563256325632562</v>
      </c>
      <c r="D865" s="7" t="s">
        <v>1</v>
      </c>
      <c r="E865" s="8">
        <f>60/345</f>
        <v>0.17391304347826086</v>
      </c>
      <c r="G865" t="s">
        <v>6</v>
      </c>
      <c r="H865" s="8">
        <f>11.4/340.4</f>
        <v>0.03349001175088132</v>
      </c>
    </row>
    <row r="866" spans="1:8" ht="13.5" thickBot="1">
      <c r="A866" t="s">
        <v>1</v>
      </c>
      <c r="B866" s="4">
        <f>83/363.6</f>
        <v>0.22827282728272827</v>
      </c>
      <c r="D866" s="7" t="s">
        <v>5</v>
      </c>
      <c r="E866" s="8">
        <f>5.2/345</f>
        <v>0.015072463768115942</v>
      </c>
      <c r="G866" t="s">
        <v>5</v>
      </c>
      <c r="H866" s="11">
        <f>2.6/340.4</f>
        <v>0.0076380728554641605</v>
      </c>
    </row>
    <row r="867" spans="1:8" ht="12.75">
      <c r="A867" t="s">
        <v>6</v>
      </c>
      <c r="B867" s="4">
        <f>3.6/363.6</f>
        <v>0.009900990099009901</v>
      </c>
      <c r="D867" s="7" t="s">
        <v>6</v>
      </c>
      <c r="E867" s="8">
        <f>4.4/345</f>
        <v>0.012753623188405798</v>
      </c>
      <c r="H867" s="1">
        <f>SUM(H862:H866)</f>
        <v>1.0000000000000002</v>
      </c>
    </row>
    <row r="868" spans="1:5" ht="13.5" thickBot="1">
      <c r="A868" t="s">
        <v>2</v>
      </c>
      <c r="B868" s="3">
        <f>2/363.6</f>
        <v>0.0055005500550055</v>
      </c>
      <c r="D868" s="7" t="s">
        <v>7</v>
      </c>
      <c r="E868" s="11">
        <f>0.4/345</f>
        <v>0.0011594202898550724</v>
      </c>
    </row>
    <row r="869" spans="2:8" ht="12.75">
      <c r="B869" s="1">
        <f>SUM(B865:B868)</f>
        <v>0.9999999999999999</v>
      </c>
      <c r="E869" s="1">
        <f>SUM(E864:E868)</f>
        <v>1</v>
      </c>
      <c r="G869" s="22">
        <v>433</v>
      </c>
      <c r="H869" s="22"/>
    </row>
    <row r="870" spans="7:8" ht="12.75">
      <c r="G870" s="7" t="s">
        <v>3</v>
      </c>
      <c r="H870" s="8">
        <f>275/337.8</f>
        <v>0.8140911782119598</v>
      </c>
    </row>
    <row r="871" spans="1:8" ht="12.75">
      <c r="A871" s="22">
        <v>417</v>
      </c>
      <c r="B871" s="22"/>
      <c r="D871" s="22">
        <v>425</v>
      </c>
      <c r="E871" s="22"/>
      <c r="G871" t="s">
        <v>75</v>
      </c>
      <c r="H871" s="8">
        <f>41/337.8</f>
        <v>0.12137359384251035</v>
      </c>
    </row>
    <row r="872" spans="1:8" ht="12.75">
      <c r="A872" t="s">
        <v>3</v>
      </c>
      <c r="B872" s="4">
        <f>275/355.2</f>
        <v>0.7742117117117118</v>
      </c>
      <c r="D872" s="7" t="s">
        <v>3</v>
      </c>
      <c r="E872" s="8">
        <f>275/349</f>
        <v>0.7879656160458453</v>
      </c>
      <c r="G872" t="s">
        <v>6</v>
      </c>
      <c r="H872" s="8">
        <f>10.6/337.8</f>
        <v>0.03137951450562463</v>
      </c>
    </row>
    <row r="873" spans="1:8" ht="12.75">
      <c r="A873" t="s">
        <v>1</v>
      </c>
      <c r="B873" s="4">
        <f>69/355.2</f>
        <v>0.19425675675675677</v>
      </c>
      <c r="D873" s="7" t="s">
        <v>1</v>
      </c>
      <c r="E873" s="8">
        <f>60/349</f>
        <v>0.17191977077363896</v>
      </c>
      <c r="G873" t="s">
        <v>1</v>
      </c>
      <c r="H873" s="8">
        <f>8/337.8</f>
        <v>0.023682652457075192</v>
      </c>
    </row>
    <row r="874" spans="1:8" ht="13.5" thickBot="1">
      <c r="A874" t="s">
        <v>6</v>
      </c>
      <c r="B874" s="4">
        <f>7.2/355.2</f>
        <v>0.02027027027027027</v>
      </c>
      <c r="D874" s="7" t="s">
        <v>6</v>
      </c>
      <c r="E874" s="8">
        <f>11.4/349</f>
        <v>0.032664756446991405</v>
      </c>
      <c r="G874" t="s">
        <v>5</v>
      </c>
      <c r="H874" s="11">
        <f>3.2/337.8</f>
        <v>0.009473060982830078</v>
      </c>
    </row>
    <row r="875" spans="1:8" ht="13.5" thickBot="1">
      <c r="A875" t="s">
        <v>2</v>
      </c>
      <c r="B875" s="3">
        <f>4/355.2</f>
        <v>0.011261261261261262</v>
      </c>
      <c r="D875" s="7" t="s">
        <v>2</v>
      </c>
      <c r="E875" s="8">
        <f>2/349</f>
        <v>0.0057306590257879654</v>
      </c>
      <c r="H875" s="1">
        <f>SUM(H870:H874)</f>
        <v>1</v>
      </c>
    </row>
    <row r="876" spans="2:5" ht="13.5" thickBot="1">
      <c r="B876" s="1">
        <f>SUM(B872:B875)</f>
        <v>1.0000000000000002</v>
      </c>
      <c r="D876" t="s">
        <v>7</v>
      </c>
      <c r="E876" s="11">
        <f>0.6/349</f>
        <v>0.0017191977077363897</v>
      </c>
    </row>
    <row r="877" ht="12.75">
      <c r="E877" s="1">
        <f>SUM(E872:E876)</f>
        <v>1</v>
      </c>
    </row>
    <row r="878" ht="12.75">
      <c r="E878" s="1"/>
    </row>
    <row r="879" spans="1:8" ht="12.75">
      <c r="A879" s="22">
        <v>434</v>
      </c>
      <c r="B879" s="22"/>
      <c r="D879" s="22">
        <v>442</v>
      </c>
      <c r="E879" s="22"/>
      <c r="G879" s="22">
        <v>450</v>
      </c>
      <c r="H879" s="22"/>
    </row>
    <row r="880" spans="1:8" ht="12.75">
      <c r="A880" t="s">
        <v>3</v>
      </c>
      <c r="B880" s="4">
        <f>275/372.7</f>
        <v>0.7378588677220285</v>
      </c>
      <c r="D880" t="s">
        <v>3</v>
      </c>
      <c r="E880" s="4">
        <f>275/375.5</f>
        <v>0.7323568575233023</v>
      </c>
      <c r="G880" t="s">
        <v>3</v>
      </c>
      <c r="H880" s="4">
        <f>275/325.6</f>
        <v>0.8445945945945945</v>
      </c>
    </row>
    <row r="881" spans="1:8" ht="12.75">
      <c r="A881" t="s">
        <v>1</v>
      </c>
      <c r="B881" s="4">
        <f>96/372.7</f>
        <v>0.25757982291387177</v>
      </c>
      <c r="D881" t="s">
        <v>1</v>
      </c>
      <c r="E881" s="4">
        <f>98/375.5</f>
        <v>0.2609853528628495</v>
      </c>
      <c r="G881" t="s">
        <v>2</v>
      </c>
      <c r="H881" s="4">
        <f>28/325.6</f>
        <v>0.08599508599508598</v>
      </c>
    </row>
    <row r="882" spans="1:8" ht="12.75">
      <c r="A882" t="s">
        <v>5</v>
      </c>
      <c r="B882" s="4">
        <f>1.4/372.7</f>
        <v>0.003756372417493963</v>
      </c>
      <c r="D882" t="s">
        <v>5</v>
      </c>
      <c r="E882" s="4">
        <f>1.8/375.5</f>
        <v>0.004793608521970706</v>
      </c>
      <c r="G882" t="s">
        <v>1</v>
      </c>
      <c r="H882" s="4">
        <f>10.8/325.6</f>
        <v>0.033169533169533166</v>
      </c>
    </row>
    <row r="883" spans="1:8" ht="12.75">
      <c r="A883" t="s">
        <v>11</v>
      </c>
      <c r="B883" s="4">
        <f>0.2/372.7</f>
        <v>0.0005366246310705662</v>
      </c>
      <c r="D883" t="s">
        <v>6</v>
      </c>
      <c r="E883" s="4">
        <f>0.6/375.5</f>
        <v>0.0015978695073235686</v>
      </c>
      <c r="G883" t="s">
        <v>11</v>
      </c>
      <c r="H883" s="4">
        <f>7.2/325.6</f>
        <v>0.022113022113022112</v>
      </c>
    </row>
    <row r="884" spans="1:8" ht="13.5" thickBot="1">
      <c r="A884" t="s">
        <v>6</v>
      </c>
      <c r="B884" s="3">
        <f>0.1/372.7</f>
        <v>0.0002683123155352831</v>
      </c>
      <c r="D884" t="s">
        <v>19</v>
      </c>
      <c r="E884" s="3">
        <f>0.1/375.5</f>
        <v>0.00026631158455392814</v>
      </c>
      <c r="G884" t="s">
        <v>6</v>
      </c>
      <c r="H884" s="3">
        <f>4.6/325.6</f>
        <v>0.014127764127764125</v>
      </c>
    </row>
    <row r="885" spans="2:8" ht="12.75">
      <c r="B885" s="1">
        <f>SUM(B880:B884)</f>
        <v>1</v>
      </c>
      <c r="E885" s="1">
        <f>SUM(E880:E884)</f>
        <v>1</v>
      </c>
      <c r="H885" s="1">
        <f>SUM(H880:H884)</f>
        <v>1</v>
      </c>
    </row>
    <row r="887" spans="1:8" ht="12.75">
      <c r="A887" s="22">
        <v>435</v>
      </c>
      <c r="B887" s="22"/>
      <c r="D887" s="22">
        <v>443</v>
      </c>
      <c r="E887" s="22"/>
      <c r="G887" s="22">
        <v>451</v>
      </c>
      <c r="H887" s="22"/>
    </row>
    <row r="888" spans="1:8" ht="12.75">
      <c r="A888" t="s">
        <v>3</v>
      </c>
      <c r="B888" s="4">
        <f>275/365.3</f>
        <v>0.7528059129482617</v>
      </c>
      <c r="D888" t="s">
        <v>3</v>
      </c>
      <c r="E888" s="4">
        <f>275/367.7</f>
        <v>0.7478923035082948</v>
      </c>
      <c r="G888" t="s">
        <v>3</v>
      </c>
      <c r="H888" s="4">
        <f>275/325.6</f>
        <v>0.8445945945945945</v>
      </c>
    </row>
    <row r="889" spans="1:8" ht="12" customHeight="1">
      <c r="A889" t="s">
        <v>1</v>
      </c>
      <c r="B889" s="4">
        <f>86/365.3</f>
        <v>0.23542294004927455</v>
      </c>
      <c r="D889" t="s">
        <v>1</v>
      </c>
      <c r="E889" s="4">
        <f>88/367.7</f>
        <v>0.23932553712265434</v>
      </c>
      <c r="G889" t="s">
        <v>1</v>
      </c>
      <c r="H889" s="4">
        <f>88/325.6</f>
        <v>0.27027027027027023</v>
      </c>
    </row>
    <row r="890" spans="1:8" ht="12" customHeight="1">
      <c r="A890" t="s">
        <v>5</v>
      </c>
      <c r="B890" s="4">
        <f>3.6/365.3</f>
        <v>0.009854913769504517</v>
      </c>
      <c r="D890" t="s">
        <v>5</v>
      </c>
      <c r="E890" s="4">
        <f>3.2/367.7</f>
        <v>0.008702746804460159</v>
      </c>
      <c r="G890" t="s">
        <v>2</v>
      </c>
      <c r="H890" s="4">
        <f>4/325.6</f>
        <v>0.012285012285012284</v>
      </c>
    </row>
    <row r="891" spans="1:8" ht="12" customHeight="1">
      <c r="A891" t="s">
        <v>11</v>
      </c>
      <c r="B891" s="4">
        <f>0.5/365.3</f>
        <v>0.001368738023542294</v>
      </c>
      <c r="D891" t="s">
        <v>6</v>
      </c>
      <c r="E891" s="4">
        <f>1.2/367.7</f>
        <v>0.003263530051672559</v>
      </c>
      <c r="G891" t="s">
        <v>6</v>
      </c>
      <c r="H891" s="4">
        <f>1.4/325.6</f>
        <v>0.004299754299754299</v>
      </c>
    </row>
    <row r="892" spans="1:8" ht="13.5" thickBot="1">
      <c r="A892" t="s">
        <v>6</v>
      </c>
      <c r="B892" s="3">
        <f>0.2/365.3</f>
        <v>0.0005474952094169176</v>
      </c>
      <c r="D892" t="s">
        <v>19</v>
      </c>
      <c r="E892" s="3">
        <f>0.3/367.7</f>
        <v>0.0008158825129181398</v>
      </c>
      <c r="G892" t="s">
        <v>11</v>
      </c>
      <c r="H892" s="3">
        <f>1/325.6</f>
        <v>0.003071253071253071</v>
      </c>
    </row>
    <row r="893" spans="2:8" ht="12.75">
      <c r="B893" s="1">
        <f>SUM(B888:B892)</f>
        <v>1</v>
      </c>
      <c r="E893" s="1">
        <f>SUM(E888:E892)</f>
        <v>1</v>
      </c>
      <c r="H893" s="1">
        <f>SUM(H888:H892)</f>
        <v>1.1345208845208843</v>
      </c>
    </row>
    <row r="895" spans="1:8" ht="12.75">
      <c r="A895" s="22">
        <v>436</v>
      </c>
      <c r="B895" s="22"/>
      <c r="D895" s="22">
        <v>444</v>
      </c>
      <c r="E895" s="22"/>
      <c r="G895" s="22">
        <v>452</v>
      </c>
      <c r="H895" s="22"/>
    </row>
    <row r="896" spans="1:8" ht="12.75">
      <c r="A896" t="s">
        <v>3</v>
      </c>
      <c r="B896" s="4">
        <f>275/338</f>
        <v>0.8136094674556213</v>
      </c>
      <c r="D896" t="s">
        <v>3</v>
      </c>
      <c r="E896" s="4">
        <f>275/367.8</f>
        <v>0.7476889613920609</v>
      </c>
      <c r="G896" t="s">
        <v>3</v>
      </c>
      <c r="H896" s="4">
        <f>275/368</f>
        <v>0.7472826086956522</v>
      </c>
    </row>
    <row r="897" spans="1:8" ht="12.75">
      <c r="A897" t="s">
        <v>1</v>
      </c>
      <c r="B897" s="4">
        <f>60/338</f>
        <v>0.17751479289940827</v>
      </c>
      <c r="D897" t="s">
        <v>1</v>
      </c>
      <c r="E897" s="4">
        <f>88/367.8</f>
        <v>0.23926046764545947</v>
      </c>
      <c r="G897" t="s">
        <v>1</v>
      </c>
      <c r="H897" s="4">
        <f>90/368</f>
        <v>0.24456521739130435</v>
      </c>
    </row>
    <row r="898" spans="1:8" ht="12.75">
      <c r="A898" t="s">
        <v>7</v>
      </c>
      <c r="B898" s="4">
        <f>1.2/338</f>
        <v>0.0035502958579881655</v>
      </c>
      <c r="D898" t="s">
        <v>6</v>
      </c>
      <c r="E898" s="4">
        <f>3.2/367.8</f>
        <v>0.008700380641653073</v>
      </c>
      <c r="G898" t="s">
        <v>2</v>
      </c>
      <c r="H898" s="4">
        <f>1.6/368</f>
        <v>0.004347826086956522</v>
      </c>
    </row>
    <row r="899" spans="1:8" ht="12.75">
      <c r="A899" t="s">
        <v>5</v>
      </c>
      <c r="B899" s="4">
        <f>1.2/338</f>
        <v>0.0035502958579881655</v>
      </c>
      <c r="D899" t="s">
        <v>5</v>
      </c>
      <c r="E899" s="4">
        <f>1/367.8</f>
        <v>0.002718868950516585</v>
      </c>
      <c r="G899" t="s">
        <v>6</v>
      </c>
      <c r="H899" s="4">
        <f>0.8/368</f>
        <v>0.002173913043478261</v>
      </c>
    </row>
    <row r="900" spans="1:8" ht="13.5" thickBot="1">
      <c r="A900" t="s">
        <v>24</v>
      </c>
      <c r="B900" s="3">
        <f>0.6/338</f>
        <v>0.0017751479289940828</v>
      </c>
      <c r="D900" t="s">
        <v>19</v>
      </c>
      <c r="E900" s="3">
        <f>0.6/367.8</f>
        <v>0.001631321370309951</v>
      </c>
      <c r="G900" t="s">
        <v>11</v>
      </c>
      <c r="H900" s="3">
        <f>0.6/368</f>
        <v>0.0016304347826086956</v>
      </c>
    </row>
    <row r="901" spans="2:8" ht="12.75">
      <c r="B901" s="1">
        <f>SUM(B896:B900)</f>
        <v>1</v>
      </c>
      <c r="E901" s="1">
        <f>SUM(E896:E900)</f>
        <v>1</v>
      </c>
      <c r="H901" s="1">
        <f>SUM(H896:H900)</f>
        <v>1</v>
      </c>
    </row>
    <row r="903" spans="1:8" ht="12.75">
      <c r="A903" s="22">
        <v>437</v>
      </c>
      <c r="B903" s="22"/>
      <c r="D903" s="22">
        <v>445</v>
      </c>
      <c r="E903" s="22"/>
      <c r="G903" s="22">
        <v>453</v>
      </c>
      <c r="H903" s="22"/>
    </row>
    <row r="904" spans="1:8" ht="12.75">
      <c r="A904" t="s">
        <v>3</v>
      </c>
      <c r="B904" s="4">
        <f>275/361.8</f>
        <v>0.7600884466556108</v>
      </c>
      <c r="D904" t="s">
        <v>3</v>
      </c>
      <c r="E904" s="4">
        <f>275/344.8</f>
        <v>0.7975638051044083</v>
      </c>
      <c r="G904" t="s">
        <v>3</v>
      </c>
      <c r="H904" s="4">
        <f>275/358.7</f>
        <v>0.766657373850014</v>
      </c>
    </row>
    <row r="905" spans="1:8" ht="12.75">
      <c r="A905" t="s">
        <v>1</v>
      </c>
      <c r="B905" s="4">
        <f>74/361.8</f>
        <v>0.20453289110005526</v>
      </c>
      <c r="D905" t="s">
        <v>1</v>
      </c>
      <c r="E905" s="4">
        <f>54/344.8</f>
        <v>0.15661252900232017</v>
      </c>
      <c r="G905" t="s">
        <v>1</v>
      </c>
      <c r="H905" s="4">
        <f>72/358.7</f>
        <v>0.20072483969891275</v>
      </c>
    </row>
    <row r="906" spans="1:8" ht="11.25" customHeight="1">
      <c r="A906" t="s">
        <v>11</v>
      </c>
      <c r="B906" s="4">
        <f>5.6/361.8</f>
        <v>0.015478164731896074</v>
      </c>
      <c r="D906" t="s">
        <v>6</v>
      </c>
      <c r="E906" s="4">
        <f>10.2/344.8</f>
        <v>0.02958236658932714</v>
      </c>
      <c r="G906" t="s">
        <v>5</v>
      </c>
      <c r="H906" s="4">
        <f>10/358.7</f>
        <v>0.027878449958182325</v>
      </c>
    </row>
    <row r="907" spans="1:8" ht="12.75">
      <c r="A907" t="s">
        <v>2</v>
      </c>
      <c r="B907" s="4">
        <f>4/361.8</f>
        <v>0.01105583195135434</v>
      </c>
      <c r="D907" t="s">
        <v>2</v>
      </c>
      <c r="E907" s="4">
        <f>4.2/344.8</f>
        <v>0.012180974477958236</v>
      </c>
      <c r="G907" t="s">
        <v>75</v>
      </c>
      <c r="H907" s="4">
        <f>1/358.7</f>
        <v>0.0027878449958182324</v>
      </c>
    </row>
    <row r="908" spans="1:8" ht="13.5" thickBot="1">
      <c r="A908" t="s">
        <v>6</v>
      </c>
      <c r="B908" s="3">
        <f>3.2/361.8</f>
        <v>0.008844665561083471</v>
      </c>
      <c r="D908" t="s">
        <v>24</v>
      </c>
      <c r="E908" s="3">
        <f>1.4/344.8</f>
        <v>0.004060324825986079</v>
      </c>
      <c r="G908" t="s">
        <v>11</v>
      </c>
      <c r="H908" s="3">
        <f>0.7/358.7</f>
        <v>0.0019514914970727626</v>
      </c>
    </row>
    <row r="909" spans="2:8" ht="12.75">
      <c r="B909" s="1">
        <f>SUM(B904:B908)</f>
        <v>0.9999999999999999</v>
      </c>
      <c r="E909" s="1">
        <f>SUM(E904:E908)</f>
        <v>0.9999999999999998</v>
      </c>
      <c r="H909" s="1">
        <f>SUM(H904:H908)</f>
        <v>1</v>
      </c>
    </row>
    <row r="911" spans="1:8" ht="12.75">
      <c r="A911" s="22">
        <v>438</v>
      </c>
      <c r="B911" s="22"/>
      <c r="D911" s="22">
        <v>446</v>
      </c>
      <c r="E911" s="22"/>
      <c r="G911" s="22">
        <v>454</v>
      </c>
      <c r="H911" s="22"/>
    </row>
    <row r="912" spans="1:8" ht="12.75">
      <c r="A912" t="s">
        <v>3</v>
      </c>
      <c r="B912" s="4">
        <f>275/304.2</f>
        <v>0.9040105193951348</v>
      </c>
      <c r="D912" t="s">
        <v>3</v>
      </c>
      <c r="E912" s="4">
        <f>275/336.4</f>
        <v>0.8174791914387635</v>
      </c>
      <c r="G912" t="s">
        <v>3</v>
      </c>
      <c r="H912" s="4">
        <f>275/365.3</f>
        <v>0.7528059129482617</v>
      </c>
    </row>
    <row r="913" spans="1:8" ht="12.75">
      <c r="A913" t="s">
        <v>1</v>
      </c>
      <c r="B913" s="4">
        <f>16/304.2</f>
        <v>0.05259697567389875</v>
      </c>
      <c r="D913" t="s">
        <v>1</v>
      </c>
      <c r="E913" s="4">
        <f>37/336.4</f>
        <v>0.10998810939357909</v>
      </c>
      <c r="G913" t="s">
        <v>1</v>
      </c>
      <c r="H913" s="4">
        <f>80/365.3</f>
        <v>0.21899808376676702</v>
      </c>
    </row>
    <row r="914" spans="1:8" ht="12.75">
      <c r="A914" t="s">
        <v>7</v>
      </c>
      <c r="B914" s="4">
        <f>6/304.2</f>
        <v>0.01972386587771203</v>
      </c>
      <c r="D914" t="s">
        <v>6</v>
      </c>
      <c r="E914" s="4">
        <f>13.6/336.4</f>
        <v>0.04042806183115339</v>
      </c>
      <c r="G914" t="s">
        <v>5</v>
      </c>
      <c r="H914" s="4">
        <f>9/365.3</f>
        <v>0.024637284423761292</v>
      </c>
    </row>
    <row r="915" spans="1:8" ht="12.75">
      <c r="A915" t="s">
        <v>6</v>
      </c>
      <c r="B915" s="4">
        <f>6/304.2</f>
        <v>0.01972386587771203</v>
      </c>
      <c r="D915" t="s">
        <v>2</v>
      </c>
      <c r="E915" s="4">
        <f>8.4/336.4</f>
        <v>0.024970273483947685</v>
      </c>
      <c r="G915" t="s">
        <v>75</v>
      </c>
      <c r="H915" s="4">
        <f>0.8/365.3</f>
        <v>0.0021899808376676703</v>
      </c>
    </row>
    <row r="916" spans="1:8" ht="13.5" thickBot="1">
      <c r="A916" t="s">
        <v>2</v>
      </c>
      <c r="B916" s="3">
        <f>1.2/304.2</f>
        <v>0.0039447731755424065</v>
      </c>
      <c r="D916" t="s">
        <v>19</v>
      </c>
      <c r="E916" s="3">
        <f>2.4/336.4</f>
        <v>0.007134363852556481</v>
      </c>
      <c r="G916" t="s">
        <v>11</v>
      </c>
      <c r="H916" s="3">
        <f>0.5/365.3</f>
        <v>0.001368738023542294</v>
      </c>
    </row>
    <row r="917" spans="2:8" ht="12.75">
      <c r="B917" s="1">
        <f>SUM(B912:B916)</f>
        <v>1</v>
      </c>
      <c r="E917" s="1">
        <f>SUM(E912:E916)</f>
        <v>1</v>
      </c>
      <c r="H917" s="1">
        <f>SUM(H912:H916)</f>
        <v>1</v>
      </c>
    </row>
    <row r="919" spans="1:8" ht="12" customHeight="1">
      <c r="A919" s="22">
        <v>439</v>
      </c>
      <c r="B919" s="22"/>
      <c r="D919" s="22">
        <v>447</v>
      </c>
      <c r="E919" s="22"/>
      <c r="G919" s="22">
        <v>455</v>
      </c>
      <c r="H919" s="22"/>
    </row>
    <row r="920" spans="1:8" ht="12.75">
      <c r="A920" t="s">
        <v>3</v>
      </c>
      <c r="B920" s="4">
        <f>275/321.8</f>
        <v>0.8545680546923554</v>
      </c>
      <c r="D920" t="s">
        <v>3</v>
      </c>
      <c r="E920" s="4">
        <f>275/323.8</f>
        <v>0.849289684990735</v>
      </c>
      <c r="G920" t="s">
        <v>3</v>
      </c>
      <c r="H920" s="4">
        <f>275/322.4</f>
        <v>0.8529776674937966</v>
      </c>
    </row>
    <row r="921" spans="1:8" ht="12" customHeight="1">
      <c r="A921" t="s">
        <v>11</v>
      </c>
      <c r="B921" s="4">
        <f>17.4/321.8</f>
        <v>0.05407085146053449</v>
      </c>
      <c r="D921" t="s">
        <v>1</v>
      </c>
      <c r="E921" s="4">
        <f>20/323.8</f>
        <v>0.061766522544780725</v>
      </c>
      <c r="G921" t="s">
        <v>2</v>
      </c>
      <c r="H921" s="4">
        <f>38/322.4</f>
        <v>0.11786600496277916</v>
      </c>
    </row>
    <row r="922" spans="1:8" ht="12" customHeight="1">
      <c r="A922" t="s">
        <v>2</v>
      </c>
      <c r="B922" s="4">
        <f>16.8/321.8</f>
        <v>0.05220633934120572</v>
      </c>
      <c r="D922" t="s">
        <v>6</v>
      </c>
      <c r="E922" s="4">
        <f>19.2/323.8</f>
        <v>0.05929586164298949</v>
      </c>
      <c r="G922" t="s">
        <v>11</v>
      </c>
      <c r="H922" s="4">
        <f>4.4/322.4</f>
        <v>0.013647642679900747</v>
      </c>
    </row>
    <row r="923" spans="1:8" ht="12.75" customHeight="1" thickBot="1">
      <c r="A923" t="s">
        <v>6</v>
      </c>
      <c r="B923" s="4">
        <f>6.6/321.8</f>
        <v>0.02050963331261653</v>
      </c>
      <c r="D923" t="s">
        <v>2</v>
      </c>
      <c r="E923" s="3">
        <f>9.6/323.8</f>
        <v>0.029647930821494747</v>
      </c>
      <c r="G923" t="s">
        <v>1</v>
      </c>
      <c r="H923" s="4">
        <f>3/322.4</f>
        <v>0.009305210918114145</v>
      </c>
    </row>
    <row r="924" spans="1:8" ht="12.75" customHeight="1" thickBot="1">
      <c r="A924" t="s">
        <v>1</v>
      </c>
      <c r="B924" s="3">
        <f>6/321.8</f>
        <v>0.018645121193287754</v>
      </c>
      <c r="E924" s="1">
        <f>SUM(E920:E923)</f>
        <v>1</v>
      </c>
      <c r="G924" t="s">
        <v>6</v>
      </c>
      <c r="H924" s="3">
        <f>2/322.4</f>
        <v>0.00620347394540943</v>
      </c>
    </row>
    <row r="925" spans="2:8" ht="12.75">
      <c r="B925" s="1">
        <f>SUM(B920:B924)</f>
        <v>1</v>
      </c>
      <c r="H925" s="1">
        <f>SUM(H920:H924)</f>
        <v>0.9999999999999999</v>
      </c>
    </row>
    <row r="926" spans="4:5" ht="12.75">
      <c r="D926" s="22">
        <v>448</v>
      </c>
      <c r="E926" s="22"/>
    </row>
    <row r="927" spans="1:8" ht="12.75">
      <c r="A927" s="22">
        <v>440</v>
      </c>
      <c r="B927" s="22"/>
      <c r="D927" t="s">
        <v>3</v>
      </c>
      <c r="E927" s="4">
        <f>275/323</f>
        <v>0.8513931888544891</v>
      </c>
      <c r="G927" s="22">
        <v>456</v>
      </c>
      <c r="H927" s="22"/>
    </row>
    <row r="928" spans="1:8" ht="12.75">
      <c r="A928" t="s">
        <v>3</v>
      </c>
      <c r="B928" s="4">
        <f>275/320.6</f>
        <v>0.8577666874610106</v>
      </c>
      <c r="D928" t="s">
        <v>2</v>
      </c>
      <c r="E928" s="4">
        <f>22/323</f>
        <v>0.06811145510835913</v>
      </c>
      <c r="G928" t="s">
        <v>3</v>
      </c>
      <c r="H928" s="4">
        <f>275/328.4</f>
        <v>0.8373934226552985</v>
      </c>
    </row>
    <row r="929" spans="1:8" ht="12.75">
      <c r="A929" t="s">
        <v>11</v>
      </c>
      <c r="B929" s="4">
        <f>18.6/320.6</f>
        <v>0.05801621958827199</v>
      </c>
      <c r="D929" t="s">
        <v>1</v>
      </c>
      <c r="E929" s="4">
        <f>12/323</f>
        <v>0.03715170278637771</v>
      </c>
      <c r="G929" t="s">
        <v>2</v>
      </c>
      <c r="H929" s="4">
        <f>38/328.4</f>
        <v>0.11571254567600488</v>
      </c>
    </row>
    <row r="930" spans="1:8" ht="12" customHeight="1">
      <c r="A930" t="s">
        <v>2</v>
      </c>
      <c r="B930" s="4">
        <f>15.2/320.6</f>
        <v>0.04741110417966313</v>
      </c>
      <c r="D930" t="s">
        <v>11</v>
      </c>
      <c r="E930" s="4">
        <f>8/323</f>
        <v>0.02476780185758514</v>
      </c>
      <c r="G930" t="s">
        <v>1</v>
      </c>
      <c r="H930" s="4">
        <f>13/328.4</f>
        <v>0.03958587088915957</v>
      </c>
    </row>
    <row r="931" spans="1:8" ht="12" customHeight="1" thickBot="1">
      <c r="A931" t="s">
        <v>6</v>
      </c>
      <c r="B931" s="4">
        <f>7.8/320.6</f>
        <v>0.024329382407985024</v>
      </c>
      <c r="D931" t="s">
        <v>6</v>
      </c>
      <c r="E931" s="3">
        <f>6/323</f>
        <v>0.018575851393188854</v>
      </c>
      <c r="G931" t="s">
        <v>11</v>
      </c>
      <c r="H931" s="4">
        <f>1.4/328.4</f>
        <v>0.004263093788063338</v>
      </c>
    </row>
    <row r="932" spans="1:8" ht="13.5" thickBot="1">
      <c r="A932" t="s">
        <v>1</v>
      </c>
      <c r="B932" s="3">
        <f>4/320.6</f>
        <v>0.012476606363069244</v>
      </c>
      <c r="E932" s="1">
        <f>SUM(E927:E931)</f>
        <v>0.9999999999999999</v>
      </c>
      <c r="G932" t="s">
        <v>6</v>
      </c>
      <c r="H932" s="3">
        <f>1/328.4</f>
        <v>0.0030450669914738127</v>
      </c>
    </row>
    <row r="933" spans="2:8" ht="12.75" customHeight="1">
      <c r="B933" s="1">
        <f>SUM(B928:B932)</f>
        <v>0.9999999999999999</v>
      </c>
      <c r="H933" s="1">
        <f>SUM(H928:H932)</f>
        <v>1</v>
      </c>
    </row>
    <row r="934" spans="4:5" ht="12.75">
      <c r="D934" s="22">
        <v>449</v>
      </c>
      <c r="E934" s="22"/>
    </row>
    <row r="935" spans="1:8" ht="12.75">
      <c r="A935" s="22">
        <v>441</v>
      </c>
      <c r="B935" s="22"/>
      <c r="D935" t="s">
        <v>3</v>
      </c>
      <c r="E935" s="4">
        <f>275/310.6</f>
        <v>0.8853831294269155</v>
      </c>
      <c r="G935" s="22">
        <v>457</v>
      </c>
      <c r="H935" s="22"/>
    </row>
    <row r="936" spans="1:8" ht="12.75" customHeight="1">
      <c r="A936" t="s">
        <v>3</v>
      </c>
      <c r="B936" s="4">
        <f>275/367</f>
        <v>0.7493188010899182</v>
      </c>
      <c r="D936" t="s">
        <v>75</v>
      </c>
      <c r="E936" s="4">
        <f>14/310.6</f>
        <v>0.04507405022537025</v>
      </c>
      <c r="G936" t="s">
        <v>3</v>
      </c>
      <c r="H936" s="4">
        <f>275/334.4</f>
        <v>0.8223684210526316</v>
      </c>
    </row>
    <row r="937" spans="1:8" ht="12.75" customHeight="1">
      <c r="A937" t="s">
        <v>1</v>
      </c>
      <c r="B937" s="4">
        <f>90/367</f>
        <v>0.2452316076294278</v>
      </c>
      <c r="D937" t="s">
        <v>2</v>
      </c>
      <c r="E937" s="4">
        <f>13/310.6</f>
        <v>0.04185447520927237</v>
      </c>
      <c r="G937" t="s">
        <v>2</v>
      </c>
      <c r="H937" s="4">
        <f>31/334.4</f>
        <v>0.09270334928229666</v>
      </c>
    </row>
    <row r="938" spans="1:8" ht="12.75">
      <c r="A938" t="s">
        <v>5</v>
      </c>
      <c r="B938" s="4">
        <f>1.6/367</f>
        <v>0.004359673024523161</v>
      </c>
      <c r="D938" t="s">
        <v>11</v>
      </c>
      <c r="E938" s="4">
        <f>6.6/310.6</f>
        <v>0.021249195106245972</v>
      </c>
      <c r="G938" t="s">
        <v>1</v>
      </c>
      <c r="H938" s="4">
        <f>26.8/334.4</f>
        <v>0.08014354066985646</v>
      </c>
    </row>
    <row r="939" spans="1:8" ht="12" customHeight="1" thickBot="1">
      <c r="A939" t="s">
        <v>6</v>
      </c>
      <c r="B939" s="3">
        <f>0.4/367</f>
        <v>0.0010899182561307902</v>
      </c>
      <c r="D939" t="s">
        <v>1</v>
      </c>
      <c r="E939" s="3">
        <f>2/310.6</f>
        <v>0.00643915003219575</v>
      </c>
      <c r="G939" t="s">
        <v>11</v>
      </c>
      <c r="H939" s="4">
        <f>1/334.4</f>
        <v>0.0029904306220095694</v>
      </c>
    </row>
    <row r="940" spans="2:8" ht="12.75" customHeight="1" thickBot="1">
      <c r="B940" s="1">
        <f>SUM(B936:B939)</f>
        <v>0.9999999999999999</v>
      </c>
      <c r="E940" s="1">
        <f>SUM(E935:E939)</f>
        <v>0.9999999999999999</v>
      </c>
      <c r="G940" t="s">
        <v>6</v>
      </c>
      <c r="H940" s="3">
        <f>0.6/334.4</f>
        <v>0.0017942583732057417</v>
      </c>
    </row>
    <row r="941" ht="12.75" customHeight="1">
      <c r="H941" s="1">
        <f>SUM(H936:H940)</f>
        <v>1</v>
      </c>
    </row>
    <row r="942" spans="1:8" ht="12.75">
      <c r="A942" s="22">
        <v>458</v>
      </c>
      <c r="B942" s="22"/>
      <c r="D942" s="22">
        <v>466</v>
      </c>
      <c r="E942" s="22"/>
      <c r="G942" s="22">
        <v>474</v>
      </c>
      <c r="H942" s="22"/>
    </row>
    <row r="943" spans="1:8" ht="12.75">
      <c r="A943" t="s">
        <v>3</v>
      </c>
      <c r="B943" s="4">
        <f>275/360.6</f>
        <v>0.7626178591236827</v>
      </c>
      <c r="D943" t="s">
        <v>3</v>
      </c>
      <c r="E943" s="4">
        <f>275/332.1</f>
        <v>0.8280638361939174</v>
      </c>
      <c r="G943" t="s">
        <v>3</v>
      </c>
      <c r="H943" s="4">
        <f>275/371.8</f>
        <v>0.7396449704142012</v>
      </c>
    </row>
    <row r="944" spans="1:8" ht="12.75">
      <c r="A944" t="s">
        <v>1</v>
      </c>
      <c r="B944" s="4">
        <f>80/360.6</f>
        <v>0.2218524681087077</v>
      </c>
      <c r="D944" t="s">
        <v>1</v>
      </c>
      <c r="E944" s="4">
        <f>46/332.1</f>
        <v>0.13851249623607345</v>
      </c>
      <c r="G944" t="s">
        <v>1</v>
      </c>
      <c r="H944" s="4">
        <f>90/371.8</f>
        <v>0.24206562668101128</v>
      </c>
    </row>
    <row r="945" spans="1:8" ht="12.75">
      <c r="A945" t="s">
        <v>27</v>
      </c>
      <c r="B945" s="4">
        <f>5.2/360.6</f>
        <v>0.014420410427066</v>
      </c>
      <c r="D945" t="s">
        <v>2</v>
      </c>
      <c r="E945" s="4">
        <f>10/332.1</f>
        <v>0.03011141222523336</v>
      </c>
      <c r="G945" t="s">
        <v>5</v>
      </c>
      <c r="H945" s="4">
        <f>6/371.8</f>
        <v>0.01613770844540075</v>
      </c>
    </row>
    <row r="946" spans="1:8" ht="12.75">
      <c r="A946" t="s">
        <v>6</v>
      </c>
      <c r="B946" s="4">
        <f>0.2/360.6</f>
        <v>0.0005546311702717693</v>
      </c>
      <c r="D946" t="s">
        <v>7</v>
      </c>
      <c r="E946" s="4">
        <f>0.9/332.1</f>
        <v>0.0027100271002710027</v>
      </c>
      <c r="G946" t="s">
        <v>7</v>
      </c>
      <c r="H946" s="4">
        <f>0.6/371.8</f>
        <v>0.0016137708445400753</v>
      </c>
    </row>
    <row r="947" spans="1:8" ht="13.5" thickBot="1">
      <c r="A947" t="s">
        <v>11</v>
      </c>
      <c r="B947" s="3">
        <f>0.2/360.6</f>
        <v>0.0005546311702717693</v>
      </c>
      <c r="D947" t="s">
        <v>24</v>
      </c>
      <c r="E947" s="3">
        <f>0.2/332.1</f>
        <v>0.0006022282445046673</v>
      </c>
      <c r="G947" t="s">
        <v>75</v>
      </c>
      <c r="H947" s="3">
        <f>0.2/371.8</f>
        <v>0.0005379236148466918</v>
      </c>
    </row>
    <row r="948" spans="2:8" ht="12.75">
      <c r="B948" s="1">
        <f>SUM(B943:B947)</f>
        <v>1</v>
      </c>
      <c r="E948" s="1">
        <f>SUM(E943:E947)</f>
        <v>0.9999999999999999</v>
      </c>
      <c r="H948" s="1">
        <f>SUM(H943:H947)</f>
        <v>1</v>
      </c>
    </row>
    <row r="950" spans="1:8" ht="12.75">
      <c r="A950" s="22">
        <v>459</v>
      </c>
      <c r="B950" s="22"/>
      <c r="D950" s="22">
        <v>467</v>
      </c>
      <c r="E950" s="22"/>
      <c r="G950" s="22">
        <v>475</v>
      </c>
      <c r="H950" s="22"/>
    </row>
    <row r="951" spans="1:8" ht="12.75">
      <c r="A951" t="s">
        <v>3</v>
      </c>
      <c r="B951" s="4">
        <f>275/368.2</f>
        <v>0.7468766974470397</v>
      </c>
      <c r="D951" t="s">
        <v>3</v>
      </c>
      <c r="E951" s="4">
        <f>275/367.1</f>
        <v>0.7491146826477798</v>
      </c>
      <c r="G951" t="s">
        <v>3</v>
      </c>
      <c r="H951" s="4">
        <f>275/351</f>
        <v>0.7834757834757835</v>
      </c>
    </row>
    <row r="952" spans="1:8" ht="12.75">
      <c r="A952" t="s">
        <v>1</v>
      </c>
      <c r="B952" s="4">
        <f>90/368.2</f>
        <v>0.24443237370994025</v>
      </c>
      <c r="D952" t="s">
        <v>1</v>
      </c>
      <c r="E952" s="4">
        <f>90/367.1</f>
        <v>0.2451648052301825</v>
      </c>
      <c r="G952" t="s">
        <v>1</v>
      </c>
      <c r="H952" s="4">
        <f>72/351</f>
        <v>0.20512820512820512</v>
      </c>
    </row>
    <row r="953" spans="1:8" ht="12.75">
      <c r="A953" t="s">
        <v>27</v>
      </c>
      <c r="B953" s="4">
        <f>3/368.2</f>
        <v>0.008147745790331342</v>
      </c>
      <c r="D953" t="s">
        <v>2</v>
      </c>
      <c r="E953" s="4">
        <f>1/367.1</f>
        <v>0.002724053391446472</v>
      </c>
      <c r="G953" t="s">
        <v>5</v>
      </c>
      <c r="H953" s="4">
        <f>3.2/351</f>
        <v>0.009116809116809118</v>
      </c>
    </row>
    <row r="954" spans="1:8" ht="12.75">
      <c r="A954" t="s">
        <v>11</v>
      </c>
      <c r="B954" s="4">
        <f>0.1/368.2</f>
        <v>0.0002715915263443781</v>
      </c>
      <c r="D954" t="s">
        <v>7</v>
      </c>
      <c r="E954" s="4">
        <f>0.8/367.1</f>
        <v>0.002179242713157178</v>
      </c>
      <c r="G954" t="s">
        <v>75</v>
      </c>
      <c r="H954" s="4">
        <f>0.4/351</f>
        <v>0.0011396011396011397</v>
      </c>
    </row>
    <row r="955" spans="1:8" ht="13.5" thickBot="1">
      <c r="A955" t="s">
        <v>6</v>
      </c>
      <c r="B955" s="3">
        <f>0.1/368.2</f>
        <v>0.0002715915263443781</v>
      </c>
      <c r="D955" t="s">
        <v>24</v>
      </c>
      <c r="E955" s="3">
        <f>0.3/367.1</f>
        <v>0.0008172160174339416</v>
      </c>
      <c r="G955" t="s">
        <v>7</v>
      </c>
      <c r="H955" s="3">
        <f>0.4/351</f>
        <v>0.0011396011396011397</v>
      </c>
    </row>
    <row r="956" spans="2:8" ht="12.75">
      <c r="B956" s="1">
        <f>SUM(B951:B955)</f>
        <v>1</v>
      </c>
      <c r="E956" s="1">
        <f>SUM(E951:E955)</f>
        <v>0.9999999999999998</v>
      </c>
      <c r="H956" s="1">
        <f>SUM(H951:H955)</f>
        <v>0.9999999999999999</v>
      </c>
    </row>
    <row r="958" spans="1:8" ht="12.75">
      <c r="A958" s="22">
        <v>460</v>
      </c>
      <c r="B958" s="22"/>
      <c r="D958" s="22">
        <v>468</v>
      </c>
      <c r="E958" s="22"/>
      <c r="G958" s="22">
        <v>476</v>
      </c>
      <c r="H958" s="22"/>
    </row>
    <row r="959" spans="1:8" ht="12.75">
      <c r="A959" t="s">
        <v>3</v>
      </c>
      <c r="B959" s="4">
        <f>275/367.2</f>
        <v>0.7489106753812637</v>
      </c>
      <c r="D959" t="s">
        <v>3</v>
      </c>
      <c r="E959" s="4">
        <f>275/347.6</f>
        <v>0.7911392405063291</v>
      </c>
      <c r="G959" t="s">
        <v>3</v>
      </c>
      <c r="H959" s="4">
        <f>275/328.4</f>
        <v>0.8373934226552985</v>
      </c>
    </row>
    <row r="960" spans="1:8" ht="12.75">
      <c r="A960" t="s">
        <v>1</v>
      </c>
      <c r="B960" s="4">
        <f>90/367.2</f>
        <v>0.2450980392156863</v>
      </c>
      <c r="D960" t="s">
        <v>1</v>
      </c>
      <c r="E960" s="4">
        <f>63/347.6</f>
        <v>0.18124280782508628</v>
      </c>
      <c r="G960" t="s">
        <v>7</v>
      </c>
      <c r="H960" s="4">
        <f>33/328.4</f>
        <v>0.10048721071863581</v>
      </c>
    </row>
    <row r="961" spans="1:8" ht="12.75">
      <c r="A961" t="s">
        <v>27</v>
      </c>
      <c r="B961" s="4">
        <f>1.8/367.2</f>
        <v>0.004901960784313725</v>
      </c>
      <c r="D961" t="s">
        <v>5</v>
      </c>
      <c r="E961" s="4">
        <f>7.6/347.6</f>
        <v>0.021864211737629455</v>
      </c>
      <c r="G961" t="s">
        <v>6</v>
      </c>
      <c r="H961" s="4">
        <f>12.8/328.4</f>
        <v>0.038976857490864804</v>
      </c>
    </row>
    <row r="962" spans="1:8" ht="13.5" thickBot="1">
      <c r="A962" t="s">
        <v>15</v>
      </c>
      <c r="B962" s="4">
        <f>0.3/367.2</f>
        <v>0.0008169934640522876</v>
      </c>
      <c r="D962" t="s">
        <v>16</v>
      </c>
      <c r="E962" s="4">
        <f>1.6/347.6</f>
        <v>0.004602991944764097</v>
      </c>
      <c r="G962" t="s">
        <v>1</v>
      </c>
      <c r="H962" s="3">
        <f>7.6/328.4</f>
        <v>0.023142509135200974</v>
      </c>
    </row>
    <row r="963" spans="1:8" ht="13.5" thickBot="1">
      <c r="A963" t="s">
        <v>6</v>
      </c>
      <c r="B963" s="3">
        <f>0.1/367.2</f>
        <v>0.0002723311546840959</v>
      </c>
      <c r="D963" t="s">
        <v>18</v>
      </c>
      <c r="E963" s="3">
        <f>0.4/347.6</f>
        <v>0.0011507479861910242</v>
      </c>
      <c r="H963" s="1">
        <f>SUM(H959:H962)</f>
        <v>1</v>
      </c>
    </row>
    <row r="964" spans="2:5" ht="12.75">
      <c r="B964" s="1">
        <f>SUM(B959:B963)</f>
        <v>1</v>
      </c>
      <c r="E964" s="1">
        <f>SUM(E959:E963)</f>
        <v>0.9999999999999999</v>
      </c>
    </row>
    <row r="965" spans="7:8" ht="12.75">
      <c r="G965" s="22">
        <v>477</v>
      </c>
      <c r="H965" s="22"/>
    </row>
    <row r="966" spans="1:8" ht="12.75">
      <c r="A966" s="22">
        <v>461</v>
      </c>
      <c r="B966" s="22"/>
      <c r="D966" s="22">
        <v>469</v>
      </c>
      <c r="E966" s="22"/>
      <c r="G966" t="s">
        <v>3</v>
      </c>
      <c r="H966" s="4">
        <f>275/321.4</f>
        <v>0.8556316116988177</v>
      </c>
    </row>
    <row r="967" spans="1:8" ht="12.75">
      <c r="A967" t="s">
        <v>3</v>
      </c>
      <c r="B967" s="4">
        <f>275/341</f>
        <v>0.8064516129032258</v>
      </c>
      <c r="D967" t="s">
        <v>3</v>
      </c>
      <c r="E967" s="4">
        <f>275/330</f>
        <v>0.8333333333333334</v>
      </c>
      <c r="G967" t="s">
        <v>7</v>
      </c>
      <c r="H967" s="4">
        <f>30.6/321.4</f>
        <v>0.09520846297448664</v>
      </c>
    </row>
    <row r="968" spans="1:8" ht="12.75">
      <c r="A968" t="s">
        <v>1</v>
      </c>
      <c r="B968" s="4">
        <f>56/341</f>
        <v>0.16422287390029325</v>
      </c>
      <c r="D968" t="s">
        <v>2</v>
      </c>
      <c r="E968" s="4">
        <f>24/330</f>
        <v>0.07272727272727272</v>
      </c>
      <c r="G968" t="s">
        <v>74</v>
      </c>
      <c r="H968" s="4">
        <f>7.6/321.4</f>
        <v>0.023646546359676415</v>
      </c>
    </row>
    <row r="969" spans="1:8" ht="12.75">
      <c r="A969" t="s">
        <v>28</v>
      </c>
      <c r="B969" s="4">
        <f>8/341</f>
        <v>0.02346041055718475</v>
      </c>
      <c r="D969" t="s">
        <v>7</v>
      </c>
      <c r="E969" s="4">
        <f>23/330</f>
        <v>0.0696969696969697</v>
      </c>
      <c r="G969" t="s">
        <v>6</v>
      </c>
      <c r="H969" s="4">
        <f>5.2/321.4</f>
        <v>0.016179215930304917</v>
      </c>
    </row>
    <row r="970" spans="1:8" ht="13.5" thickBot="1">
      <c r="A970" t="s">
        <v>16</v>
      </c>
      <c r="B970" s="4">
        <f>1.6/341</f>
        <v>0.00469208211143695</v>
      </c>
      <c r="D970" t="s">
        <v>6</v>
      </c>
      <c r="E970" s="4">
        <f>6/330</f>
        <v>0.01818181818181818</v>
      </c>
      <c r="G970" t="s">
        <v>1</v>
      </c>
      <c r="H970" s="3">
        <f>3/321.4</f>
        <v>0.009334163036714376</v>
      </c>
    </row>
    <row r="971" spans="1:8" ht="13.5" thickBot="1">
      <c r="A971" t="s">
        <v>75</v>
      </c>
      <c r="B971" s="3">
        <f>0.4/341</f>
        <v>0.0011730205278592375</v>
      </c>
      <c r="D971" t="s">
        <v>1</v>
      </c>
      <c r="E971" s="3">
        <f>2/330</f>
        <v>0.006060606060606061</v>
      </c>
      <c r="H971" s="1">
        <f>SUM(H966:H970)</f>
        <v>1</v>
      </c>
    </row>
    <row r="972" spans="2:5" ht="12.75">
      <c r="B972" s="4">
        <f>SUM(B967:B971)</f>
        <v>0.9999999999999999</v>
      </c>
      <c r="E972" s="1">
        <f>SUM(E967:E971)</f>
        <v>1</v>
      </c>
    </row>
    <row r="973" spans="2:8" ht="12.75">
      <c r="B973" s="4"/>
      <c r="G973" s="22">
        <v>478</v>
      </c>
      <c r="H973" s="22"/>
    </row>
    <row r="974" spans="1:8" ht="12.75">
      <c r="A974" s="22">
        <v>462</v>
      </c>
      <c r="B974" s="22"/>
      <c r="D974" s="22">
        <v>470</v>
      </c>
      <c r="E974" s="22"/>
      <c r="G974" t="s">
        <v>3</v>
      </c>
      <c r="H974" s="4">
        <f>275/327.2</f>
        <v>0.8404645476772616</v>
      </c>
    </row>
    <row r="975" spans="1:8" ht="12.75">
      <c r="A975" t="s">
        <v>3</v>
      </c>
      <c r="B975" s="4">
        <f>275/323.6</f>
        <v>0.849814585908529</v>
      </c>
      <c r="D975" t="s">
        <v>3</v>
      </c>
      <c r="E975" s="4">
        <f>275/332.6</f>
        <v>0.8268190018039687</v>
      </c>
      <c r="G975" t="s">
        <v>7</v>
      </c>
      <c r="H975" s="4">
        <f>36/327.2</f>
        <v>0.11002444987775062</v>
      </c>
    </row>
    <row r="976" spans="1:8" ht="12.75">
      <c r="A976" t="s">
        <v>2</v>
      </c>
      <c r="B976" s="4">
        <f>28.4/323.6</f>
        <v>0.08776266996291718</v>
      </c>
      <c r="D976" t="s">
        <v>2</v>
      </c>
      <c r="E976" s="4">
        <f>26/332.6</f>
        <v>0.07817197835237522</v>
      </c>
      <c r="G976" t="s">
        <v>74</v>
      </c>
      <c r="H976" s="4">
        <f>6/327.2</f>
        <v>0.018337408312958436</v>
      </c>
    </row>
    <row r="977" spans="1:8" ht="12.75">
      <c r="A977" t="s">
        <v>11</v>
      </c>
      <c r="B977" s="4">
        <f>11.2/323.6</f>
        <v>0.034610630407911</v>
      </c>
      <c r="D977" t="s">
        <v>7</v>
      </c>
      <c r="E977" s="4">
        <f>20/332.6</f>
        <v>0.06013229104028863</v>
      </c>
      <c r="G977" t="s">
        <v>1</v>
      </c>
      <c r="H977" s="4">
        <f>6/327.2</f>
        <v>0.018337408312958436</v>
      </c>
    </row>
    <row r="978" spans="1:8" ht="13.5" thickBot="1">
      <c r="A978" t="s">
        <v>29</v>
      </c>
      <c r="B978" s="4">
        <f>6/323.6</f>
        <v>0.018541409147095178</v>
      </c>
      <c r="D978" t="s">
        <v>1</v>
      </c>
      <c r="E978" s="4">
        <f>10/332.6</f>
        <v>0.030066145520144315</v>
      </c>
      <c r="G978" t="s">
        <v>6</v>
      </c>
      <c r="H978" s="3">
        <f>4.2/327.2</f>
        <v>0.012836185819070905</v>
      </c>
    </row>
    <row r="979" spans="1:8" ht="12" customHeight="1" thickBot="1">
      <c r="A979" t="s">
        <v>6</v>
      </c>
      <c r="B979" s="3">
        <f>3/323.6</f>
        <v>0.009270704573547589</v>
      </c>
      <c r="D979" t="s">
        <v>6</v>
      </c>
      <c r="E979" s="3">
        <f>1.6/332.6</f>
        <v>0.004810583283223091</v>
      </c>
      <c r="H979" s="1">
        <f>SUM(H974:H978)</f>
        <v>1</v>
      </c>
    </row>
    <row r="980" spans="2:5" ht="12.75">
      <c r="B980" s="1">
        <f>SUM(B975:B979)</f>
        <v>1</v>
      </c>
      <c r="E980" s="1">
        <f>SUM(E975:E979)</f>
        <v>1</v>
      </c>
    </row>
    <row r="981" spans="7:8" ht="12.75">
      <c r="G981" s="22">
        <v>479</v>
      </c>
      <c r="H981" s="22"/>
    </row>
    <row r="982" spans="1:8" ht="11.25" customHeight="1">
      <c r="A982" s="22">
        <v>463</v>
      </c>
      <c r="B982" s="22"/>
      <c r="D982" s="22">
        <v>471</v>
      </c>
      <c r="E982" s="22"/>
      <c r="G982" t="s">
        <v>3</v>
      </c>
      <c r="H982" s="4">
        <f>275/363.6</f>
        <v>0.7563256325632562</v>
      </c>
    </row>
    <row r="983" spans="1:8" ht="12" customHeight="1">
      <c r="A983" t="s">
        <v>3</v>
      </c>
      <c r="B983" s="4">
        <f>275/325</f>
        <v>0.8461538461538461</v>
      </c>
      <c r="D983" t="s">
        <v>3</v>
      </c>
      <c r="E983" s="4">
        <f>275/333.6</f>
        <v>0.8243405275779376</v>
      </c>
      <c r="G983" t="s">
        <v>1</v>
      </c>
      <c r="H983" s="4">
        <f>78/363.6</f>
        <v>0.2145214521452145</v>
      </c>
    </row>
    <row r="984" spans="1:8" ht="12" customHeight="1">
      <c r="A984" t="s">
        <v>2</v>
      </c>
      <c r="B984" s="4">
        <f>32/325</f>
        <v>0.09846153846153846</v>
      </c>
      <c r="D984" t="s">
        <v>2</v>
      </c>
      <c r="E984" s="4">
        <f>38/333.6</f>
        <v>0.11390887290167864</v>
      </c>
      <c r="G984" s="7" t="s">
        <v>7</v>
      </c>
      <c r="H984" s="4">
        <f>7/363.6</f>
        <v>0.01925192519251925</v>
      </c>
    </row>
    <row r="985" spans="1:8" ht="12.75">
      <c r="A985" t="s">
        <v>18</v>
      </c>
      <c r="B985" s="4">
        <f>8/325</f>
        <v>0.024615384615384615</v>
      </c>
      <c r="D985" t="s">
        <v>7</v>
      </c>
      <c r="E985" s="4">
        <f>14/333.6</f>
        <v>0.041966426858513185</v>
      </c>
      <c r="G985" t="s">
        <v>6</v>
      </c>
      <c r="H985" s="4">
        <f>2/363.6</f>
        <v>0.0055005500550055</v>
      </c>
    </row>
    <row r="986" spans="1:8" ht="11.25" customHeight="1" thickBot="1">
      <c r="A986" t="s">
        <v>7</v>
      </c>
      <c r="B986" s="4">
        <f>6/325</f>
        <v>0.018461538461538463</v>
      </c>
      <c r="D986" t="s">
        <v>1</v>
      </c>
      <c r="E986" s="4">
        <f>6/333.6</f>
        <v>0.017985611510791366</v>
      </c>
      <c r="G986" t="s">
        <v>2</v>
      </c>
      <c r="H986" s="3">
        <f>1.6/363.6</f>
        <v>0.0044004400440044</v>
      </c>
    </row>
    <row r="987" spans="1:8" ht="13.5" thickBot="1">
      <c r="A987" t="s">
        <v>1</v>
      </c>
      <c r="B987" s="3">
        <f>4/325</f>
        <v>0.012307692307692308</v>
      </c>
      <c r="D987" t="s">
        <v>6</v>
      </c>
      <c r="E987" s="3">
        <f>0.6/333.6</f>
        <v>0.0017985611510791366</v>
      </c>
      <c r="H987" s="1">
        <f>SUM(H982:H986)</f>
        <v>0.9999999999999999</v>
      </c>
    </row>
    <row r="988" spans="2:5" ht="12.75">
      <c r="B988" s="1">
        <f>SUM(B983:B987)</f>
        <v>1</v>
      </c>
      <c r="E988" s="1">
        <f>SUM(E983:E987)</f>
        <v>0.9999999999999999</v>
      </c>
    </row>
    <row r="989" spans="7:8" ht="12.75">
      <c r="G989" s="22">
        <v>480</v>
      </c>
      <c r="H989" s="22"/>
    </row>
    <row r="990" spans="1:8" ht="12.75">
      <c r="A990" s="22">
        <v>464</v>
      </c>
      <c r="B990" s="22"/>
      <c r="D990" s="22">
        <v>472</v>
      </c>
      <c r="E990" s="22"/>
      <c r="G990" t="s">
        <v>3</v>
      </c>
      <c r="H990" s="4">
        <f>275/351</f>
        <v>0.7834757834757835</v>
      </c>
    </row>
    <row r="991" spans="1:8" ht="12.75">
      <c r="A991" t="s">
        <v>3</v>
      </c>
      <c r="B991" s="4">
        <f>275/332.2</f>
        <v>0.8278145695364238</v>
      </c>
      <c r="D991" t="s">
        <v>3</v>
      </c>
      <c r="E991" s="4">
        <f>275/369.9</f>
        <v>0.7434441741011084</v>
      </c>
      <c r="G991" t="s">
        <v>1</v>
      </c>
      <c r="H991" s="4">
        <f>72/351</f>
        <v>0.20512820512820512</v>
      </c>
    </row>
    <row r="992" spans="1:8" ht="12.75">
      <c r="A992" t="s">
        <v>2</v>
      </c>
      <c r="B992" s="4">
        <f>32/332.2</f>
        <v>0.09632751354605659</v>
      </c>
      <c r="D992" t="s">
        <v>1</v>
      </c>
      <c r="E992" s="4">
        <f>90/369.9</f>
        <v>0.24330900243309003</v>
      </c>
      <c r="G992" t="s">
        <v>5</v>
      </c>
      <c r="H992" s="4">
        <f>2.8/351</f>
        <v>0.007977207977207976</v>
      </c>
    </row>
    <row r="993" spans="1:8" ht="12.75">
      <c r="A993" t="s">
        <v>1</v>
      </c>
      <c r="B993" s="4">
        <f>13/332.2</f>
        <v>0.039133052378085495</v>
      </c>
      <c r="D993" t="s">
        <v>2</v>
      </c>
      <c r="E993" s="4">
        <f>2.6/369.9</f>
        <v>0.007028926736955935</v>
      </c>
      <c r="G993" s="7" t="s">
        <v>7</v>
      </c>
      <c r="H993" s="4">
        <f>0.8/351</f>
        <v>0.0022792022792022795</v>
      </c>
    </row>
    <row r="994" spans="1:8" ht="13.5" thickBot="1">
      <c r="A994" t="s">
        <v>18</v>
      </c>
      <c r="B994" s="4">
        <f>6.6/332.2</f>
        <v>0.019867549668874173</v>
      </c>
      <c r="D994" t="s">
        <v>7</v>
      </c>
      <c r="E994" s="4">
        <f>2.2/369.9</f>
        <v>0.005947553392808868</v>
      </c>
      <c r="G994" t="s">
        <v>6</v>
      </c>
      <c r="H994" s="3">
        <f>0.4/351</f>
        <v>0.0011396011396011397</v>
      </c>
    </row>
    <row r="995" spans="1:8" ht="12.75" customHeight="1" thickBot="1">
      <c r="A995" t="s">
        <v>7</v>
      </c>
      <c r="B995" s="3">
        <f>5.6/332.2</f>
        <v>0.016857314870559904</v>
      </c>
      <c r="D995" t="s">
        <v>6</v>
      </c>
      <c r="E995" s="3">
        <f>0.1/369.9</f>
        <v>0.0002703433360367667</v>
      </c>
      <c r="H995" s="1">
        <f>SUM(H990:H994)</f>
        <v>1</v>
      </c>
    </row>
    <row r="996" spans="2:5" ht="12.75" customHeight="1">
      <c r="B996" s="1">
        <f>SUM(B991:B995)</f>
        <v>1</v>
      </c>
      <c r="E996" s="1">
        <f>SUM(E991:E995)</f>
        <v>1</v>
      </c>
    </row>
    <row r="997" spans="7:8" ht="12.75" customHeight="1">
      <c r="G997" s="22">
        <v>481</v>
      </c>
      <c r="H997" s="22"/>
    </row>
    <row r="998" spans="1:8" ht="12" customHeight="1">
      <c r="A998" s="22">
        <v>465</v>
      </c>
      <c r="B998" s="22"/>
      <c r="D998" s="22">
        <v>473</v>
      </c>
      <c r="E998" s="22"/>
      <c r="G998" t="s">
        <v>3</v>
      </c>
      <c r="H998" s="4">
        <f>275/367.2</f>
        <v>0.7489106753812637</v>
      </c>
    </row>
    <row r="999" spans="1:8" ht="12" customHeight="1">
      <c r="A999" t="s">
        <v>3</v>
      </c>
      <c r="B999" s="4">
        <f>275/371.1</f>
        <v>0.7410401509027216</v>
      </c>
      <c r="D999" t="s">
        <v>3</v>
      </c>
      <c r="E999" s="4">
        <f>275/321</f>
        <v>0.8566978193146417</v>
      </c>
      <c r="G999" t="s">
        <v>1</v>
      </c>
      <c r="H999" s="4">
        <f>90/367.2</f>
        <v>0.2450980392156863</v>
      </c>
    </row>
    <row r="1000" spans="1:8" ht="11.25" customHeight="1">
      <c r="A1000" t="s">
        <v>1</v>
      </c>
      <c r="B1000" s="4">
        <f>88/371.1</f>
        <v>0.2371328482888709</v>
      </c>
      <c r="D1000" t="s">
        <v>1</v>
      </c>
      <c r="E1000" s="4">
        <f>40/321</f>
        <v>0.12461059190031153</v>
      </c>
      <c r="G1000" t="s">
        <v>5</v>
      </c>
      <c r="H1000" s="4">
        <f>1.6/367.2</f>
        <v>0.004357298474945534</v>
      </c>
    </row>
    <row r="1001" spans="1:8" ht="12" customHeight="1">
      <c r="A1001" t="s">
        <v>2</v>
      </c>
      <c r="B1001" s="4">
        <f>5.2/371.1</f>
        <v>0.014012395580706008</v>
      </c>
      <c r="D1001" t="s">
        <v>2</v>
      </c>
      <c r="E1001" s="4">
        <f>5/321</f>
        <v>0.01557632398753894</v>
      </c>
      <c r="G1001" s="7" t="s">
        <v>7</v>
      </c>
      <c r="H1001" s="4">
        <f>0.4/367.2</f>
        <v>0.0010893246187363835</v>
      </c>
    </row>
    <row r="1002" spans="1:8" ht="13.5" thickBot="1">
      <c r="A1002" t="s">
        <v>11</v>
      </c>
      <c r="B1002" s="4">
        <f>2.2/371.1</f>
        <v>0.005928321207221773</v>
      </c>
      <c r="D1002" t="s">
        <v>7</v>
      </c>
      <c r="E1002" s="4">
        <f>0.6/321</f>
        <v>0.0018691588785046728</v>
      </c>
      <c r="G1002" t="s">
        <v>6</v>
      </c>
      <c r="H1002" s="3">
        <f>0.2/367.2</f>
        <v>0.0005446623093681918</v>
      </c>
    </row>
    <row r="1003" spans="1:8" ht="12" customHeight="1" thickBot="1">
      <c r="A1003" t="s">
        <v>6</v>
      </c>
      <c r="B1003" s="3">
        <f>0.7/371.1</f>
        <v>0.0018862840204796549</v>
      </c>
      <c r="D1003" t="s">
        <v>75</v>
      </c>
      <c r="E1003" s="3">
        <f>0.4/321</f>
        <v>0.0012461059190031153</v>
      </c>
      <c r="H1003" s="1">
        <f>SUM(H998:H1002)</f>
        <v>1</v>
      </c>
    </row>
    <row r="1004" spans="2:5" ht="11.25" customHeight="1">
      <c r="B1004" s="1">
        <f>SUM(B999:B1003)</f>
        <v>0.9999999999999999</v>
      </c>
      <c r="E1004" s="1">
        <f>SUM(E999:E1003)</f>
        <v>1</v>
      </c>
    </row>
    <row r="1005" spans="1:8" ht="12.75">
      <c r="A1005" s="22">
        <v>482</v>
      </c>
      <c r="B1005" s="22"/>
      <c r="D1005" s="22">
        <v>490</v>
      </c>
      <c r="E1005" s="22"/>
      <c r="G1005" s="22">
        <v>498</v>
      </c>
      <c r="H1005" s="22"/>
    </row>
    <row r="1006" spans="1:8" ht="12.75">
      <c r="A1006" t="s">
        <v>3</v>
      </c>
      <c r="B1006" s="4">
        <f>275/331</f>
        <v>0.8308157099697885</v>
      </c>
      <c r="D1006" t="s">
        <v>3</v>
      </c>
      <c r="E1006" s="4">
        <f>275/322.2</f>
        <v>0.8535071384233396</v>
      </c>
      <c r="G1006" t="s">
        <v>3</v>
      </c>
      <c r="H1006" s="4">
        <f>275/325.8</f>
        <v>0.8440761203192142</v>
      </c>
    </row>
    <row r="1007" spans="1:8" ht="12.75">
      <c r="A1007" t="s">
        <v>1</v>
      </c>
      <c r="B1007" s="4">
        <f>50/331</f>
        <v>0.1510574018126888</v>
      </c>
      <c r="D1007" t="s">
        <v>11</v>
      </c>
      <c r="E1007" s="4">
        <f>26/322.2</f>
        <v>0.08069522036002483</v>
      </c>
      <c r="G1007" t="s">
        <v>7</v>
      </c>
      <c r="H1007" s="4">
        <f>30/325.8</f>
        <v>0.09208103130755065</v>
      </c>
    </row>
    <row r="1008" spans="1:8" ht="12.75">
      <c r="A1008" t="s">
        <v>5</v>
      </c>
      <c r="B1008" s="4">
        <f>5/331</f>
        <v>0.015105740181268883</v>
      </c>
      <c r="D1008" t="s">
        <v>2</v>
      </c>
      <c r="E1008" s="4">
        <f>17.6/322.2</f>
        <v>0.054624456859093735</v>
      </c>
      <c r="G1008" t="s">
        <v>11</v>
      </c>
      <c r="H1008" s="4">
        <f>11.4/325.8</f>
        <v>0.034990791896869246</v>
      </c>
    </row>
    <row r="1009" spans="1:8" ht="12.75">
      <c r="A1009" t="s">
        <v>11</v>
      </c>
      <c r="B1009" s="4">
        <f>0.6/331</f>
        <v>0.0018126888217522659</v>
      </c>
      <c r="D1009" t="s">
        <v>1</v>
      </c>
      <c r="E1009" s="4">
        <f>2/322.2</f>
        <v>0.006207324643078833</v>
      </c>
      <c r="G1009" t="s">
        <v>1</v>
      </c>
      <c r="H1009" s="4">
        <f>5/325.8</f>
        <v>0.01534683855125844</v>
      </c>
    </row>
    <row r="1010" spans="1:8" ht="13.5" thickBot="1">
      <c r="A1010" t="s">
        <v>75</v>
      </c>
      <c r="B1010" s="3">
        <f>0.4/331</f>
        <v>0.0012084592145015106</v>
      </c>
      <c r="D1010" t="s">
        <v>6</v>
      </c>
      <c r="E1010" s="3">
        <f>1.6/322.2</f>
        <v>0.004965859714463067</v>
      </c>
      <c r="G1010" t="s">
        <v>6</v>
      </c>
      <c r="H1010" s="3">
        <f>4.4/325.8</f>
        <v>0.013505217925107428</v>
      </c>
    </row>
    <row r="1011" spans="2:8" ht="12.75">
      <c r="B1011" s="1">
        <f>SUM(B1006:B1010)</f>
        <v>0.9999999999999999</v>
      </c>
      <c r="E1011" s="1">
        <f>SUM(E1006:E1010)</f>
        <v>1.0000000000000002</v>
      </c>
      <c r="H1011" s="1">
        <f>SUM(H1006:H1010)</f>
        <v>0.9999999999999999</v>
      </c>
    </row>
    <row r="1013" spans="1:8" ht="12.75">
      <c r="A1013" s="22">
        <v>483</v>
      </c>
      <c r="B1013" s="22"/>
      <c r="D1013" s="22">
        <v>491</v>
      </c>
      <c r="E1013" s="22"/>
      <c r="G1013" s="22">
        <v>499</v>
      </c>
      <c r="H1013" s="22"/>
    </row>
    <row r="1014" spans="1:8" ht="12.75">
      <c r="A1014" t="s">
        <v>3</v>
      </c>
      <c r="B1014" s="4">
        <f>275/325.8</f>
        <v>0.8440761203192142</v>
      </c>
      <c r="D1014" t="s">
        <v>3</v>
      </c>
      <c r="E1014" s="4">
        <f>275/322.8</f>
        <v>0.8519206939281289</v>
      </c>
      <c r="G1014" t="s">
        <v>3</v>
      </c>
      <c r="H1014" s="4">
        <f>275/323.3</f>
        <v>0.8506031549644293</v>
      </c>
    </row>
    <row r="1015" spans="1:8" ht="12.75">
      <c r="A1015" s="7" t="s">
        <v>7</v>
      </c>
      <c r="B1015" s="4">
        <f>37/325.8</f>
        <v>0.11356660527931246</v>
      </c>
      <c r="D1015" t="s">
        <v>11</v>
      </c>
      <c r="E1015" s="4">
        <f>24/322.8</f>
        <v>0.07434944237918216</v>
      </c>
      <c r="G1015" t="s">
        <v>2</v>
      </c>
      <c r="H1015" s="4">
        <f>32/323.3</f>
        <v>0.09897927621404268</v>
      </c>
    </row>
    <row r="1016" spans="1:8" ht="12.75">
      <c r="A1016" t="s">
        <v>74</v>
      </c>
      <c r="B1016" s="4">
        <f>5.6/325.8</f>
        <v>0.01718845917740945</v>
      </c>
      <c r="D1016" t="s">
        <v>2</v>
      </c>
      <c r="E1016" s="4">
        <f>19.6/322.8</f>
        <v>0.0607187112763321</v>
      </c>
      <c r="G1016" t="s">
        <v>1</v>
      </c>
      <c r="H1016" s="4">
        <f>8/323.3</f>
        <v>0.02474481905351067</v>
      </c>
    </row>
    <row r="1017" spans="1:8" ht="12.75">
      <c r="A1017" t="s">
        <v>6</v>
      </c>
      <c r="B1017" s="4">
        <f>4.2/325.8</f>
        <v>0.01289134438305709</v>
      </c>
      <c r="D1017" t="s">
        <v>1</v>
      </c>
      <c r="E1017" s="4">
        <f>3.6/322.8</f>
        <v>0.011152416356877323</v>
      </c>
      <c r="G1017" t="s">
        <v>74</v>
      </c>
      <c r="H1017" s="4">
        <f>7.2/323.3</f>
        <v>0.022270337148159604</v>
      </c>
    </row>
    <row r="1018" spans="1:8" ht="13.5" thickBot="1">
      <c r="A1018" t="s">
        <v>1</v>
      </c>
      <c r="B1018" s="3">
        <f>4/325.8</f>
        <v>0.012277470841006752</v>
      </c>
      <c r="D1018" t="s">
        <v>6</v>
      </c>
      <c r="E1018" s="3">
        <f>0.6/322.8</f>
        <v>0.0018587360594795538</v>
      </c>
      <c r="G1018" t="s">
        <v>6</v>
      </c>
      <c r="H1018" s="3">
        <f>1.1/323.3</f>
        <v>0.0034024126198577173</v>
      </c>
    </row>
    <row r="1019" spans="2:8" ht="12.75">
      <c r="B1019" s="1">
        <f>SUM(B1014:B1018)</f>
        <v>0.9999999999999999</v>
      </c>
      <c r="E1019" s="1">
        <f>SUM(E1014:E1018)</f>
        <v>1</v>
      </c>
      <c r="H1019" s="1">
        <f>SUM(H1014:H1018)</f>
        <v>1</v>
      </c>
    </row>
    <row r="1021" spans="1:8" ht="12.75">
      <c r="A1021" s="22">
        <v>484</v>
      </c>
      <c r="B1021" s="22"/>
      <c r="D1021" s="22">
        <v>492</v>
      </c>
      <c r="E1021" s="22"/>
      <c r="G1021" s="22">
        <v>500</v>
      </c>
      <c r="H1021" s="22"/>
    </row>
    <row r="1022" spans="1:8" ht="12.75">
      <c r="A1022" t="s">
        <v>3</v>
      </c>
      <c r="B1022" s="4">
        <f>275/325</f>
        <v>0.8461538461538461</v>
      </c>
      <c r="D1022" t="s">
        <v>3</v>
      </c>
      <c r="E1022" s="4">
        <f>275/331.4</f>
        <v>0.8298129149064575</v>
      </c>
      <c r="G1022" t="s">
        <v>3</v>
      </c>
      <c r="H1022" s="4">
        <f>275/370</f>
        <v>0.7432432432432432</v>
      </c>
    </row>
    <row r="1023" spans="1:8" ht="12.75">
      <c r="A1023" s="7" t="s">
        <v>7</v>
      </c>
      <c r="B1023" s="4">
        <f>39.2/325</f>
        <v>0.12061538461538462</v>
      </c>
      <c r="D1023" t="s">
        <v>1</v>
      </c>
      <c r="E1023" s="4">
        <f>32/331.4</f>
        <v>0.09656004828002415</v>
      </c>
      <c r="G1023" t="s">
        <v>1</v>
      </c>
      <c r="H1023" s="4">
        <f>88/370</f>
        <v>0.23783783783783785</v>
      </c>
    </row>
    <row r="1024" spans="1:8" ht="12.75">
      <c r="A1024" t="s">
        <v>74</v>
      </c>
      <c r="B1024" s="4">
        <f>8/325</f>
        <v>0.024615384615384615</v>
      </c>
      <c r="D1024" t="s">
        <v>2</v>
      </c>
      <c r="E1024" s="4">
        <f>14.4/331.4</f>
        <v>0.04345202172601087</v>
      </c>
      <c r="G1024" t="s">
        <v>11</v>
      </c>
      <c r="H1024" s="4">
        <f>4.6/370</f>
        <v>0.012432432432432432</v>
      </c>
    </row>
    <row r="1025" spans="1:8" ht="12.75">
      <c r="A1025" t="s">
        <v>1</v>
      </c>
      <c r="B1025" s="4">
        <f>2.2/325</f>
        <v>0.00676923076923077</v>
      </c>
      <c r="D1025" t="s">
        <v>74</v>
      </c>
      <c r="E1025" s="4">
        <f>9/331.4</f>
        <v>0.02715751357875679</v>
      </c>
      <c r="G1025" t="s">
        <v>2</v>
      </c>
      <c r="H1025" s="4">
        <f>2.2/370</f>
        <v>0.005945945945945947</v>
      </c>
    </row>
    <row r="1026" spans="1:8" ht="13.5" thickBot="1">
      <c r="A1026" t="s">
        <v>6</v>
      </c>
      <c r="B1026" s="3">
        <f>0.6/325</f>
        <v>0.0018461538461538461</v>
      </c>
      <c r="D1026" t="s">
        <v>6</v>
      </c>
      <c r="E1026" s="3">
        <f>1/331.4</f>
        <v>0.0030175015087507548</v>
      </c>
      <c r="G1026" t="s">
        <v>6</v>
      </c>
      <c r="H1026" s="3">
        <f>0.2/370</f>
        <v>0.0005405405405405405</v>
      </c>
    </row>
    <row r="1027" spans="2:8" ht="12.75">
      <c r="B1027" s="1">
        <f>SUM(B1022:B1026)</f>
        <v>1</v>
      </c>
      <c r="E1027" s="1">
        <f>SUM(E1022:E1026)</f>
        <v>1</v>
      </c>
      <c r="H1027" s="1">
        <f>SUM(H1022:H1026)</f>
        <v>1</v>
      </c>
    </row>
    <row r="1029" spans="1:8" ht="12.75">
      <c r="A1029" s="22">
        <v>485</v>
      </c>
      <c r="B1029" s="22"/>
      <c r="D1029" s="22">
        <v>493</v>
      </c>
      <c r="E1029" s="22"/>
      <c r="G1029" s="22">
        <v>501</v>
      </c>
      <c r="H1029" s="22"/>
    </row>
    <row r="1030" spans="1:8" ht="12.75">
      <c r="A1030" t="s">
        <v>3</v>
      </c>
      <c r="B1030" s="4">
        <f>275/339</f>
        <v>0.8112094395280236</v>
      </c>
      <c r="D1030" t="s">
        <v>3</v>
      </c>
      <c r="E1030" s="4">
        <f>275/366.2</f>
        <v>0.7509557618787548</v>
      </c>
      <c r="G1030" t="s">
        <v>3</v>
      </c>
      <c r="H1030" s="4">
        <f>275/356.6</f>
        <v>0.7711721817162086</v>
      </c>
    </row>
    <row r="1031" spans="1:8" ht="12.75">
      <c r="A1031" t="s">
        <v>15</v>
      </c>
      <c r="B1031" s="4">
        <f>40/339</f>
        <v>0.11799410029498525</v>
      </c>
      <c r="D1031" t="s">
        <v>1</v>
      </c>
      <c r="E1031" s="4">
        <f>84/366.2</f>
        <v>0.22938285090114693</v>
      </c>
      <c r="G1031" t="s">
        <v>1</v>
      </c>
      <c r="H1031" s="4">
        <f>80/356.6</f>
        <v>0.2243409983174425</v>
      </c>
    </row>
    <row r="1032" spans="1:8" ht="12.75">
      <c r="A1032" s="7" t="s">
        <v>7</v>
      </c>
      <c r="B1032" s="4">
        <f>18/339</f>
        <v>0.05309734513274336</v>
      </c>
      <c r="D1032" t="s">
        <v>11</v>
      </c>
      <c r="E1032" s="4">
        <f>4.8/366.2</f>
        <v>0.013107591480065538</v>
      </c>
      <c r="G1032" t="s">
        <v>11</v>
      </c>
      <c r="H1032" s="4">
        <f>1/356.6</f>
        <v>0.002804262478968031</v>
      </c>
    </row>
    <row r="1033" spans="1:8" ht="12.75">
      <c r="A1033" t="s">
        <v>74</v>
      </c>
      <c r="B1033" s="4">
        <f>4/339</f>
        <v>0.011799410029498525</v>
      </c>
      <c r="D1033" t="s">
        <v>2</v>
      </c>
      <c r="E1033" s="4">
        <f>2/366.2</f>
        <v>0.005461496450027308</v>
      </c>
      <c r="G1033" t="s">
        <v>2</v>
      </c>
      <c r="H1033" s="4">
        <f>0.4/356.6</f>
        <v>0.0011217049915872126</v>
      </c>
    </row>
    <row r="1034" spans="1:8" ht="13.5" thickBot="1">
      <c r="A1034" t="s">
        <v>1</v>
      </c>
      <c r="B1034" s="3">
        <f>2/339</f>
        <v>0.0058997050147492625</v>
      </c>
      <c r="D1034" t="s">
        <v>75</v>
      </c>
      <c r="E1034" s="3">
        <f>0.4/366.2</f>
        <v>0.0010922992900054616</v>
      </c>
      <c r="G1034" t="s">
        <v>75</v>
      </c>
      <c r="H1034" s="3">
        <f>0.2/356.6</f>
        <v>0.0005608524957936063</v>
      </c>
    </row>
    <row r="1035" spans="2:8" ht="12.75">
      <c r="B1035" s="1">
        <f>SUM(B1030:B1034)</f>
        <v>0.9999999999999999</v>
      </c>
      <c r="E1035" s="1">
        <f>SUM(E1030:E1034)</f>
        <v>1.0000000000000002</v>
      </c>
      <c r="H1035" s="1">
        <f>SUM(H1030:H1034)</f>
        <v>1</v>
      </c>
    </row>
    <row r="1037" spans="1:8" ht="12.75">
      <c r="A1037" s="22">
        <v>486</v>
      </c>
      <c r="B1037" s="22"/>
      <c r="D1037" s="22">
        <v>494</v>
      </c>
      <c r="E1037" s="22"/>
      <c r="G1037" s="22">
        <v>502</v>
      </c>
      <c r="H1037" s="22"/>
    </row>
    <row r="1038" spans="1:8" ht="12.75">
      <c r="A1038" t="s">
        <v>3</v>
      </c>
      <c r="B1038" s="4">
        <f>275/365.6</f>
        <v>0.7521881838074398</v>
      </c>
      <c r="D1038" t="s">
        <v>3</v>
      </c>
      <c r="E1038" s="4">
        <f>275/357.8</f>
        <v>0.7685858021240917</v>
      </c>
      <c r="G1038" t="s">
        <v>3</v>
      </c>
      <c r="H1038" s="4">
        <f>275/358.7</f>
        <v>0.766657373850014</v>
      </c>
    </row>
    <row r="1039" spans="1:8" ht="12.75">
      <c r="A1039" t="s">
        <v>1</v>
      </c>
      <c r="B1039" s="4">
        <f>86/365.6</f>
        <v>0.23522975929978115</v>
      </c>
      <c r="D1039" t="s">
        <v>1</v>
      </c>
      <c r="E1039" s="4">
        <f>72/357.8</f>
        <v>0.20122973728339855</v>
      </c>
      <c r="G1039" t="s">
        <v>1</v>
      </c>
      <c r="H1039" s="4">
        <f>80/358.7</f>
        <v>0.2230275996654586</v>
      </c>
    </row>
    <row r="1040" spans="1:8" ht="12.75">
      <c r="A1040" t="s">
        <v>2</v>
      </c>
      <c r="B1040" s="4">
        <f>3/365.6</f>
        <v>0.008205689277899343</v>
      </c>
      <c r="D1040" t="s">
        <v>5</v>
      </c>
      <c r="E1040" s="4">
        <f>9/357.8</f>
        <v>0.02515371716042482</v>
      </c>
      <c r="G1040" t="s">
        <v>2</v>
      </c>
      <c r="H1040" s="4">
        <f>3/358.7</f>
        <v>0.008363534987454698</v>
      </c>
    </row>
    <row r="1041" spans="1:8" ht="13.5" thickBot="1">
      <c r="A1041" t="s">
        <v>74</v>
      </c>
      <c r="B1041" s="3">
        <f>1.6/365.6</f>
        <v>0.00437636761487965</v>
      </c>
      <c r="D1041" t="s">
        <v>11</v>
      </c>
      <c r="E1041" s="3">
        <f>1.8/357.8</f>
        <v>0.005030743432084964</v>
      </c>
      <c r="G1041" t="s">
        <v>11</v>
      </c>
      <c r="H1041" s="4">
        <f>0.6/358.7</f>
        <v>0.0016727069974909394</v>
      </c>
    </row>
    <row r="1042" spans="2:8" ht="13.5" thickBot="1">
      <c r="B1042" s="1">
        <f>SUM(B1038:B1041)</f>
        <v>1</v>
      </c>
      <c r="E1042" s="1">
        <f>SUM(E1038:E1041)</f>
        <v>1</v>
      </c>
      <c r="G1042" t="s">
        <v>75</v>
      </c>
      <c r="H1042" s="3">
        <f>0.1/358.7</f>
        <v>0.00027878449958182325</v>
      </c>
    </row>
    <row r="1043" ht="12.75">
      <c r="H1043" s="1">
        <f>SUM(H1038:H1042)</f>
        <v>1</v>
      </c>
    </row>
    <row r="1044" spans="1:5" ht="12.75">
      <c r="A1044" s="22">
        <v>487</v>
      </c>
      <c r="B1044" s="22"/>
      <c r="D1044" s="22">
        <v>495</v>
      </c>
      <c r="E1044" s="22"/>
    </row>
    <row r="1045" spans="1:8" ht="12.75">
      <c r="A1045" t="s">
        <v>3</v>
      </c>
      <c r="B1045" s="4">
        <f>275/368.3</f>
        <v>0.7466739071409177</v>
      </c>
      <c r="D1045" t="s">
        <v>3</v>
      </c>
      <c r="E1045" s="4">
        <f>275/355.7</f>
        <v>0.7731234186111893</v>
      </c>
      <c r="G1045" s="22">
        <v>503</v>
      </c>
      <c r="H1045" s="22"/>
    </row>
    <row r="1046" spans="1:8" ht="12.75">
      <c r="A1046" t="s">
        <v>1</v>
      </c>
      <c r="B1046" s="4">
        <f>90/368.3</f>
        <v>0.24436600597339125</v>
      </c>
      <c r="D1046" t="s">
        <v>1</v>
      </c>
      <c r="E1046" s="4">
        <f>80/355.7</f>
        <v>0.2249086308687096</v>
      </c>
      <c r="G1046" t="s">
        <v>3</v>
      </c>
      <c r="H1046" s="4">
        <f>275/355.6</f>
        <v>0.7733408323959504</v>
      </c>
    </row>
    <row r="1047" spans="1:8" ht="12.75">
      <c r="A1047" s="7" t="s">
        <v>7</v>
      </c>
      <c r="B1047" s="4">
        <f>2/368.3</f>
        <v>0.005430355688297583</v>
      </c>
      <c r="D1047" t="s">
        <v>7</v>
      </c>
      <c r="E1047" s="4">
        <f>0.4/355.7</f>
        <v>0.0011245431543435481</v>
      </c>
      <c r="G1047" t="s">
        <v>1</v>
      </c>
      <c r="H1047" s="4">
        <f>80/355.6</f>
        <v>0.22497187851518557</v>
      </c>
    </row>
    <row r="1048" spans="1:8" ht="12.75">
      <c r="A1048" t="s">
        <v>5</v>
      </c>
      <c r="B1048" s="4">
        <f>1.2/368.3</f>
        <v>0.00325821341297855</v>
      </c>
      <c r="D1048" t="s">
        <v>75</v>
      </c>
      <c r="E1048" s="4">
        <f>0.2/355.7</f>
        <v>0.0005622715771717741</v>
      </c>
      <c r="G1048" t="s">
        <v>75</v>
      </c>
      <c r="H1048" s="4">
        <f>0.4/355.6</f>
        <v>0.001124859392575928</v>
      </c>
    </row>
    <row r="1049" spans="1:8" ht="13.5" thickBot="1">
      <c r="A1049" s="7" t="s">
        <v>6</v>
      </c>
      <c r="B1049" s="3">
        <f>0.1/368.3</f>
        <v>0.00027151778441487917</v>
      </c>
      <c r="D1049" t="s">
        <v>74</v>
      </c>
      <c r="E1049" s="3">
        <f>0.1/355.7</f>
        <v>0.00028113578858588703</v>
      </c>
      <c r="G1049" t="s">
        <v>7</v>
      </c>
      <c r="H1049" s="3">
        <f>0.2/355.6</f>
        <v>0.000562429696287964</v>
      </c>
    </row>
    <row r="1050" spans="2:8" ht="12.75">
      <c r="B1050" s="1">
        <f>SUM(B1045:B1049)</f>
        <v>1</v>
      </c>
      <c r="E1050" s="1">
        <f>SUM(E1045:E1049)</f>
        <v>1</v>
      </c>
      <c r="H1050" s="1">
        <f>SUM(H1046:H1049)</f>
        <v>0.9999999999999999</v>
      </c>
    </row>
    <row r="1052" spans="1:8" ht="12.75">
      <c r="A1052" s="22">
        <v>488</v>
      </c>
      <c r="B1052" s="22"/>
      <c r="D1052" s="22">
        <v>496</v>
      </c>
      <c r="E1052" s="22"/>
      <c r="G1052" s="22">
        <v>504</v>
      </c>
      <c r="H1052" s="22"/>
    </row>
    <row r="1053" spans="1:8" ht="12.75">
      <c r="A1053" t="s">
        <v>3</v>
      </c>
      <c r="B1053" s="4">
        <f>275/338.3</f>
        <v>0.812887969258055</v>
      </c>
      <c r="D1053" t="s">
        <v>3</v>
      </c>
      <c r="E1053" s="4">
        <f>275/365.8</f>
        <v>0.7517769272826681</v>
      </c>
      <c r="G1053" t="s">
        <v>3</v>
      </c>
      <c r="H1053" s="4">
        <f>275/324.2</f>
        <v>0.8482418260333128</v>
      </c>
    </row>
    <row r="1054" spans="1:8" ht="12.75">
      <c r="A1054" t="s">
        <v>1</v>
      </c>
      <c r="B1054" s="4">
        <f>52/338.3</f>
        <v>0.15370972509606856</v>
      </c>
      <c r="D1054" t="s">
        <v>1</v>
      </c>
      <c r="E1054" s="4">
        <f>90/365.8</f>
        <v>0.24603608529250956</v>
      </c>
      <c r="G1054" t="s">
        <v>11</v>
      </c>
      <c r="H1054" s="4">
        <f>24/324.2</f>
        <v>0.07402837754472548</v>
      </c>
    </row>
    <row r="1055" spans="1:8" ht="12.75">
      <c r="A1055" t="s">
        <v>5</v>
      </c>
      <c r="B1055" s="4">
        <f>10/338.3</f>
        <v>0.029559562518474726</v>
      </c>
      <c r="D1055" t="s">
        <v>7</v>
      </c>
      <c r="E1055" s="4">
        <f>0.4/365.8</f>
        <v>0.0010934937124111536</v>
      </c>
      <c r="G1055" t="s">
        <v>7</v>
      </c>
      <c r="H1055" s="4">
        <f>17/324.2</f>
        <v>0.05243676742751388</v>
      </c>
    </row>
    <row r="1056" spans="1:8" ht="12.75">
      <c r="A1056" t="s">
        <v>11</v>
      </c>
      <c r="B1056" s="4">
        <f>1.2/338.3</f>
        <v>0.003547147502216967</v>
      </c>
      <c r="D1056" t="s">
        <v>24</v>
      </c>
      <c r="E1056" s="4">
        <f>0.2/365.8</f>
        <v>0.0005467468562055768</v>
      </c>
      <c r="G1056" t="s">
        <v>6</v>
      </c>
      <c r="H1056" s="4">
        <f>5.2/324.2</f>
        <v>0.016039481801357187</v>
      </c>
    </row>
    <row r="1057" spans="1:8" ht="13.5" thickBot="1">
      <c r="A1057" t="s">
        <v>75</v>
      </c>
      <c r="B1057" s="3">
        <f>0.1/338.3</f>
        <v>0.0002955956251847473</v>
      </c>
      <c r="D1057" t="s">
        <v>11</v>
      </c>
      <c r="E1057" s="3">
        <f>0.2/365.8</f>
        <v>0.0005467468562055768</v>
      </c>
      <c r="G1057" t="s">
        <v>1</v>
      </c>
      <c r="H1057" s="3">
        <f>3/324.2</f>
        <v>0.009253547193090685</v>
      </c>
    </row>
    <row r="1058" spans="2:8" ht="12.75">
      <c r="B1058" s="1">
        <f>SUM(B1053:B1057)</f>
        <v>0.9999999999999999</v>
      </c>
      <c r="E1058" s="1">
        <f>SUM(E1053:E1057)</f>
        <v>1</v>
      </c>
      <c r="H1058" s="1">
        <f>SUM(H1053:H1057)</f>
        <v>1</v>
      </c>
    </row>
    <row r="1060" spans="1:8" ht="12.75">
      <c r="A1060" s="22">
        <v>489</v>
      </c>
      <c r="B1060" s="22"/>
      <c r="D1060" s="22">
        <v>497</v>
      </c>
      <c r="E1060" s="22"/>
      <c r="G1060" s="22">
        <v>505</v>
      </c>
      <c r="H1060" s="22"/>
    </row>
    <row r="1061" spans="1:8" ht="12.75">
      <c r="A1061" t="s">
        <v>3</v>
      </c>
      <c r="B1061" s="4">
        <f>275/331.9</f>
        <v>0.8285628201265441</v>
      </c>
      <c r="D1061" t="s">
        <v>3</v>
      </c>
      <c r="E1061" s="4">
        <f>275/321</f>
        <v>0.8566978193146417</v>
      </c>
      <c r="G1061" t="s">
        <v>3</v>
      </c>
      <c r="H1061" s="4">
        <f>275/323</f>
        <v>0.8513931888544891</v>
      </c>
    </row>
    <row r="1062" spans="1:8" ht="12.75">
      <c r="A1062" t="s">
        <v>1</v>
      </c>
      <c r="B1062" s="4">
        <f>50/331.9</f>
        <v>0.1506477854775535</v>
      </c>
      <c r="D1062" t="s">
        <v>11</v>
      </c>
      <c r="E1062" s="4">
        <f>23/321</f>
        <v>0.07165109034267912</v>
      </c>
      <c r="G1062" t="s">
        <v>11</v>
      </c>
      <c r="H1062" s="4">
        <f>34/323</f>
        <v>0.10526315789473684</v>
      </c>
    </row>
    <row r="1063" spans="1:8" ht="12.75">
      <c r="A1063" t="s">
        <v>5</v>
      </c>
      <c r="B1063" s="4">
        <f>6/331.9</f>
        <v>0.018077734257306417</v>
      </c>
      <c r="D1063" t="s">
        <v>2</v>
      </c>
      <c r="E1063" s="4">
        <f>18/321</f>
        <v>0.056074766355140186</v>
      </c>
      <c r="G1063" t="s">
        <v>2</v>
      </c>
      <c r="H1063" s="4">
        <f>9/323</f>
        <v>0.02786377708978328</v>
      </c>
    </row>
    <row r="1064" spans="1:8" ht="12.75">
      <c r="A1064" t="s">
        <v>11</v>
      </c>
      <c r="B1064" s="4">
        <f>0.8/331.9</f>
        <v>0.002410364567640856</v>
      </c>
      <c r="D1064" t="s">
        <v>1</v>
      </c>
      <c r="E1064" s="4">
        <f>3/321</f>
        <v>0.009345794392523364</v>
      </c>
      <c r="G1064" t="s">
        <v>1</v>
      </c>
      <c r="H1064" s="4">
        <f>4/323</f>
        <v>0.01238390092879257</v>
      </c>
    </row>
    <row r="1065" spans="1:8" ht="11.25" customHeight="1" thickBot="1">
      <c r="A1065" t="s">
        <v>75</v>
      </c>
      <c r="B1065" s="3">
        <f>0.1/331.9</f>
        <v>0.000301295570955107</v>
      </c>
      <c r="D1065" t="s">
        <v>6</v>
      </c>
      <c r="E1065" s="3">
        <f>2/321</f>
        <v>0.006230529595015576</v>
      </c>
      <c r="G1065" t="s">
        <v>6</v>
      </c>
      <c r="H1065" s="3">
        <f>1/323</f>
        <v>0.0030959752321981426</v>
      </c>
    </row>
    <row r="1066" spans="2:8" ht="12.75">
      <c r="B1066" s="1">
        <f>SUM(B1061:B1065)</f>
        <v>1</v>
      </c>
      <c r="E1066" s="1">
        <f>SUM(E1061:E1065)</f>
        <v>1</v>
      </c>
      <c r="H1066" s="1">
        <f>SUM(H1061:H1065)</f>
        <v>1</v>
      </c>
    </row>
    <row r="1067" spans="1:8" ht="12.75">
      <c r="A1067" s="22">
        <v>506</v>
      </c>
      <c r="B1067" s="22"/>
      <c r="D1067" s="22">
        <v>514</v>
      </c>
      <c r="E1067" s="22"/>
      <c r="G1067" s="22">
        <v>522</v>
      </c>
      <c r="H1067" s="22"/>
    </row>
    <row r="1068" spans="1:8" ht="12.75">
      <c r="A1068" t="s">
        <v>3</v>
      </c>
      <c r="B1068" s="4">
        <f>275/328.2</f>
        <v>0.837903717245582</v>
      </c>
      <c r="D1068" t="s">
        <v>3</v>
      </c>
      <c r="E1068" s="4">
        <f>275/370.2</f>
        <v>0.7428417071853053</v>
      </c>
      <c r="G1068" t="s">
        <v>3</v>
      </c>
      <c r="H1068" s="4">
        <f>275/362.7</f>
        <v>0.758202371105597</v>
      </c>
    </row>
    <row r="1069" spans="1:8" ht="12.75">
      <c r="A1069" t="s">
        <v>11</v>
      </c>
      <c r="B1069" s="4">
        <f>28/328.2</f>
        <v>0.08531383302864108</v>
      </c>
      <c r="D1069" t="s">
        <v>1</v>
      </c>
      <c r="E1069" s="4">
        <f>88/370.2</f>
        <v>0.23770934629929769</v>
      </c>
      <c r="G1069" t="s">
        <v>1</v>
      </c>
      <c r="H1069" s="4">
        <f>80/362.7</f>
        <v>0.22056796250344637</v>
      </c>
    </row>
    <row r="1070" spans="1:8" ht="12.75">
      <c r="A1070" t="s">
        <v>7</v>
      </c>
      <c r="B1070" s="4">
        <f>13.4/328.2</f>
        <v>0.04082876294942109</v>
      </c>
      <c r="D1070" t="s">
        <v>11</v>
      </c>
      <c r="E1070" s="4">
        <f>5.4/370.2</f>
        <v>0.014586709886547814</v>
      </c>
      <c r="G1070" t="s">
        <v>5</v>
      </c>
      <c r="H1070" s="4">
        <f>5/362.7</f>
        <v>0.013785497656465398</v>
      </c>
    </row>
    <row r="1071" spans="1:8" ht="12.75">
      <c r="A1071" t="s">
        <v>1</v>
      </c>
      <c r="B1071" s="4">
        <f>10/328.2</f>
        <v>0.030469226081657527</v>
      </c>
      <c r="D1071" t="s">
        <v>5</v>
      </c>
      <c r="E1071" s="4">
        <f>1/370.2</f>
        <v>0.002701242571582928</v>
      </c>
      <c r="G1071" t="s">
        <v>11</v>
      </c>
      <c r="H1071" s="4">
        <f>1.5/362.7</f>
        <v>0.0041356492969396195</v>
      </c>
    </row>
    <row r="1072" spans="1:8" ht="13.5" thickBot="1">
      <c r="A1072" t="s">
        <v>6</v>
      </c>
      <c r="B1072" s="3">
        <f>1.8/328.2</f>
        <v>0.005484460694698355</v>
      </c>
      <c r="D1072" t="s">
        <v>75</v>
      </c>
      <c r="E1072" s="3">
        <f>0.8/370.2</f>
        <v>0.0021609940572663426</v>
      </c>
      <c r="G1072" t="s">
        <v>18</v>
      </c>
      <c r="H1072" s="3">
        <f>1.2/362.7</f>
        <v>0.0033085194375516956</v>
      </c>
    </row>
    <row r="1073" spans="2:8" ht="12.75">
      <c r="B1073" s="1">
        <f>SUM(B1068:B1072)</f>
        <v>0.9999999999999999</v>
      </c>
      <c r="E1073" s="1">
        <f>SUM(E1068:E1072)</f>
        <v>1</v>
      </c>
      <c r="H1073" s="1">
        <f>SUM(H1068:H1072)</f>
        <v>1</v>
      </c>
    </row>
    <row r="1075" spans="1:8" ht="12.75">
      <c r="A1075" s="22">
        <v>507</v>
      </c>
      <c r="B1075" s="22"/>
      <c r="D1075" s="22">
        <v>515</v>
      </c>
      <c r="E1075" s="22"/>
      <c r="G1075" s="22">
        <v>523</v>
      </c>
      <c r="H1075" s="22"/>
    </row>
    <row r="1076" spans="1:8" ht="12.75">
      <c r="A1076" t="s">
        <v>3</v>
      </c>
      <c r="B1076" s="4">
        <f>275/368.3</f>
        <v>0.7466739071409177</v>
      </c>
      <c r="D1076" t="s">
        <v>3</v>
      </c>
      <c r="E1076" s="4">
        <f>275/367.7</f>
        <v>0.7478923035082948</v>
      </c>
      <c r="G1076" t="s">
        <v>3</v>
      </c>
      <c r="H1076" s="4">
        <f>275/367.8</f>
        <v>0.7476889613920609</v>
      </c>
    </row>
    <row r="1077" spans="1:8" ht="12.75">
      <c r="A1077" t="s">
        <v>1</v>
      </c>
      <c r="B1077" s="4">
        <f>88/368.3</f>
        <v>0.23893565028509367</v>
      </c>
      <c r="D1077" t="s">
        <v>1</v>
      </c>
      <c r="E1077" s="4">
        <f>90/367.7</f>
        <v>0.24476475387544194</v>
      </c>
      <c r="G1077" t="s">
        <v>1</v>
      </c>
      <c r="H1077" s="4">
        <f>90/367.8</f>
        <v>0.24469820554649266</v>
      </c>
    </row>
    <row r="1078" spans="1:8" ht="12.75">
      <c r="A1078" t="s">
        <v>11</v>
      </c>
      <c r="B1078" s="4">
        <f>4/368.3</f>
        <v>0.010860711376595167</v>
      </c>
      <c r="D1078" t="s">
        <v>11</v>
      </c>
      <c r="E1078" s="4">
        <f>2/367.7</f>
        <v>0.005439216752787599</v>
      </c>
      <c r="G1078" t="s">
        <v>5</v>
      </c>
      <c r="H1078" s="4">
        <f>1.6/367.8</f>
        <v>0.004350190320826537</v>
      </c>
    </row>
    <row r="1079" spans="1:8" ht="12.75">
      <c r="A1079" t="s">
        <v>2</v>
      </c>
      <c r="B1079" s="4">
        <f>1.2/368.3</f>
        <v>0.00325821341297855</v>
      </c>
      <c r="D1079" t="s">
        <v>5</v>
      </c>
      <c r="E1079" s="4">
        <f>0.4/367.7</f>
        <v>0.0010878433505575199</v>
      </c>
      <c r="G1079" t="s">
        <v>18</v>
      </c>
      <c r="H1079" s="4">
        <f>0.6/367.8</f>
        <v>0.001631321370309951</v>
      </c>
    </row>
    <row r="1080" spans="1:8" ht="13.5" thickBot="1">
      <c r="A1080" t="s">
        <v>6</v>
      </c>
      <c r="B1080" s="3">
        <f>0.1/368.3</f>
        <v>0.00027151778441487917</v>
      </c>
      <c r="D1080" t="s">
        <v>75</v>
      </c>
      <c r="E1080" s="3">
        <f>0.3/367.7</f>
        <v>0.0008158825129181398</v>
      </c>
      <c r="G1080" t="s">
        <v>11</v>
      </c>
      <c r="H1080" s="3">
        <f>0.6/367.8</f>
        <v>0.001631321370309951</v>
      </c>
    </row>
    <row r="1081" spans="2:8" ht="12.75">
      <c r="B1081" s="1">
        <f>SUM(B1076:B1080)</f>
        <v>1</v>
      </c>
      <c r="E1081" s="1">
        <f>SUM(E1076:E1080)</f>
        <v>1</v>
      </c>
      <c r="H1081" s="1">
        <f>SUM(H1076:H1080)</f>
        <v>1</v>
      </c>
    </row>
    <row r="1083" spans="1:8" ht="12.75">
      <c r="A1083" s="22">
        <v>508</v>
      </c>
      <c r="B1083" s="22"/>
      <c r="D1083" s="22">
        <v>516</v>
      </c>
      <c r="E1083" s="22"/>
      <c r="G1083" s="22">
        <v>524</v>
      </c>
      <c r="H1083" s="22"/>
    </row>
    <row r="1084" spans="1:8" ht="12.75">
      <c r="A1084" t="s">
        <v>3</v>
      </c>
      <c r="B1084" s="4">
        <f>275/340</f>
        <v>0.8088235294117647</v>
      </c>
      <c r="D1084" t="s">
        <v>3</v>
      </c>
      <c r="E1084" s="4">
        <f>275/366.8</f>
        <v>0.7497273718647764</v>
      </c>
      <c r="G1084" t="s">
        <v>3</v>
      </c>
      <c r="H1084" s="4">
        <f>275/367.3</f>
        <v>0.7487067791995644</v>
      </c>
    </row>
    <row r="1085" spans="1:8" ht="12.75">
      <c r="A1085" t="s">
        <v>1</v>
      </c>
      <c r="B1085" s="4">
        <f>60/340</f>
        <v>0.17647058823529413</v>
      </c>
      <c r="D1085" t="s">
        <v>1</v>
      </c>
      <c r="E1085" s="4">
        <f>90/366.8</f>
        <v>0.24536532170119957</v>
      </c>
      <c r="G1085" t="s">
        <v>1</v>
      </c>
      <c r="H1085" s="4">
        <f>90/367.3</f>
        <v>0.24503130955622107</v>
      </c>
    </row>
    <row r="1086" spans="1:8" ht="12.75">
      <c r="A1086" t="s">
        <v>16</v>
      </c>
      <c r="B1086" s="4">
        <f>4.4/340</f>
        <v>0.012941176470588237</v>
      </c>
      <c r="D1086" t="s">
        <v>11</v>
      </c>
      <c r="E1086" s="4">
        <f>1/366.8</f>
        <v>0.0027262813522355507</v>
      </c>
      <c r="G1086" t="s">
        <v>5</v>
      </c>
      <c r="H1086" s="4">
        <f>1.6/367.3</f>
        <v>0.004356112169888375</v>
      </c>
    </row>
    <row r="1087" spans="1:8" ht="13.5" thickBot="1">
      <c r="A1087" t="s">
        <v>7</v>
      </c>
      <c r="B1087" s="4">
        <f>0.4/340</f>
        <v>0.0011764705882352942</v>
      </c>
      <c r="D1087" t="s">
        <v>5</v>
      </c>
      <c r="E1087" s="3">
        <f>0.8/366.8</f>
        <v>0.0021810250817884407</v>
      </c>
      <c r="G1087" t="s">
        <v>18</v>
      </c>
      <c r="H1087" s="4">
        <f>0.4/367.3</f>
        <v>0.0010890280424720937</v>
      </c>
    </row>
    <row r="1088" spans="1:8" ht="13.5" thickBot="1">
      <c r="A1088" t="s">
        <v>6</v>
      </c>
      <c r="B1088" s="3">
        <f>0.2/340</f>
        <v>0.0005882352941176471</v>
      </c>
      <c r="E1088" s="1">
        <f>SUM(E1084:E1087)</f>
        <v>1</v>
      </c>
      <c r="G1088" t="s">
        <v>11</v>
      </c>
      <c r="H1088" s="3">
        <f>0.3/367.3</f>
        <v>0.0008167710318540702</v>
      </c>
    </row>
    <row r="1089" spans="2:8" ht="12.75">
      <c r="B1089" s="1">
        <f>SUM(B1084:B1088)</f>
        <v>1</v>
      </c>
      <c r="H1089" s="1">
        <f>SUM(H1084:H1088)</f>
        <v>1.0000000000000002</v>
      </c>
    </row>
    <row r="1090" spans="4:5" ht="12.75">
      <c r="D1090" s="22">
        <v>517</v>
      </c>
      <c r="E1090" s="22"/>
    </row>
    <row r="1091" spans="1:8" ht="12.75">
      <c r="A1091" s="22">
        <v>509</v>
      </c>
      <c r="B1091" s="22"/>
      <c r="D1091" t="s">
        <v>3</v>
      </c>
      <c r="E1091" s="4">
        <f>275/366.8</f>
        <v>0.7497273718647764</v>
      </c>
      <c r="G1091" s="22">
        <v>525</v>
      </c>
      <c r="H1091" s="22"/>
    </row>
    <row r="1092" spans="1:8" ht="12.75">
      <c r="A1092" t="s">
        <v>3</v>
      </c>
      <c r="B1092" s="4">
        <f>275/370.3</f>
        <v>0.7426411018093437</v>
      </c>
      <c r="D1092" t="s">
        <v>1</v>
      </c>
      <c r="E1092" s="4">
        <f>90/366.8</f>
        <v>0.24536532170119957</v>
      </c>
      <c r="G1092" t="s">
        <v>3</v>
      </c>
      <c r="H1092" s="4">
        <f>275/329</f>
        <v>0.8358662613981763</v>
      </c>
    </row>
    <row r="1093" spans="1:8" ht="12.75">
      <c r="A1093" t="s">
        <v>1</v>
      </c>
      <c r="B1093" s="4">
        <f>90/370.3</f>
        <v>0.24304617877396706</v>
      </c>
      <c r="D1093" t="s">
        <v>5</v>
      </c>
      <c r="E1093" s="4">
        <f>1.2/366.8</f>
        <v>0.003271537622682661</v>
      </c>
      <c r="G1093" t="s">
        <v>11</v>
      </c>
      <c r="H1093" s="4">
        <f>30/329</f>
        <v>0.0911854103343465</v>
      </c>
    </row>
    <row r="1094" spans="1:8" ht="12.75">
      <c r="A1094" t="s">
        <v>5</v>
      </c>
      <c r="B1094" s="4">
        <f>4.6/370.3</f>
        <v>0.012422360248447204</v>
      </c>
      <c r="D1094" t="s">
        <v>11</v>
      </c>
      <c r="E1094" s="4">
        <f>0.5/366.8</f>
        <v>0.0013631406761177754</v>
      </c>
      <c r="G1094" t="s">
        <v>20</v>
      </c>
      <c r="H1094" s="4">
        <f>10/329</f>
        <v>0.030395136778115502</v>
      </c>
    </row>
    <row r="1095" spans="1:8" ht="13.5" thickBot="1">
      <c r="A1095" t="s">
        <v>74</v>
      </c>
      <c r="B1095" s="4">
        <f>0.6/370.3</f>
        <v>0.0016203078584931135</v>
      </c>
      <c r="D1095" t="s">
        <v>75</v>
      </c>
      <c r="E1095" s="3">
        <f>0.1/366.8</f>
        <v>0.0002726281352235551</v>
      </c>
      <c r="G1095" t="s">
        <v>18</v>
      </c>
      <c r="H1095" s="4">
        <f>10/329</f>
        <v>0.030395136778115502</v>
      </c>
    </row>
    <row r="1096" spans="1:8" ht="13.5" thickBot="1">
      <c r="A1096" t="s">
        <v>75</v>
      </c>
      <c r="B1096" s="3">
        <f>0.1/370.3</f>
        <v>0.00027005130974885227</v>
      </c>
      <c r="E1096" s="1">
        <f>SUM(E1091:E1095)</f>
        <v>1</v>
      </c>
      <c r="G1096" t="s">
        <v>1</v>
      </c>
      <c r="H1096" s="3">
        <f>4/329</f>
        <v>0.0121580547112462</v>
      </c>
    </row>
    <row r="1097" spans="2:8" ht="12.75">
      <c r="B1097" s="1">
        <f>SUM(B1092:B1096)</f>
        <v>1</v>
      </c>
      <c r="H1097" s="1">
        <f>SUM(H1092:H1096)</f>
        <v>0.9999999999999999</v>
      </c>
    </row>
    <row r="1098" spans="4:5" ht="12.75">
      <c r="D1098" s="22">
        <v>518</v>
      </c>
      <c r="E1098" s="22"/>
    </row>
    <row r="1099" spans="1:8" ht="12.75">
      <c r="A1099" s="22">
        <v>510</v>
      </c>
      <c r="B1099" s="22"/>
      <c r="D1099" t="s">
        <v>3</v>
      </c>
      <c r="E1099" s="4">
        <f>275/324.8</f>
        <v>0.8466748768472906</v>
      </c>
      <c r="G1099" s="22">
        <v>526</v>
      </c>
      <c r="H1099" s="22"/>
    </row>
    <row r="1100" spans="1:8" ht="12.75">
      <c r="A1100" t="s">
        <v>3</v>
      </c>
      <c r="B1100" s="4">
        <f>275/328.6</f>
        <v>0.8368837492391965</v>
      </c>
      <c r="D1100" t="s">
        <v>11</v>
      </c>
      <c r="E1100" s="4">
        <f>33.6/324.8</f>
        <v>0.10344827586206896</v>
      </c>
      <c r="G1100" t="s">
        <v>3</v>
      </c>
      <c r="H1100" s="4">
        <f>275/320.2</f>
        <v>0.8588382261086821</v>
      </c>
    </row>
    <row r="1101" spans="1:8" ht="12.75">
      <c r="A1101" t="s">
        <v>1</v>
      </c>
      <c r="B1101" s="4">
        <f>52/328.6</f>
        <v>0.15824710894704808</v>
      </c>
      <c r="D1101" t="s">
        <v>1</v>
      </c>
      <c r="E1101" s="4">
        <f>10/324.8</f>
        <v>0.03078817733990148</v>
      </c>
      <c r="G1101" t="s">
        <v>20</v>
      </c>
      <c r="H1101" s="4">
        <f>38/320.2</f>
        <v>0.11867582760774516</v>
      </c>
    </row>
    <row r="1102" spans="1:8" ht="12.75">
      <c r="A1102" t="s">
        <v>16</v>
      </c>
      <c r="B1102" s="4">
        <f>1/328.6</f>
        <v>0.0030432136335970784</v>
      </c>
      <c r="D1102" s="7" t="s">
        <v>6</v>
      </c>
      <c r="E1102" s="4">
        <f>3.8/324.8</f>
        <v>0.011699507389162561</v>
      </c>
      <c r="G1102" t="s">
        <v>75</v>
      </c>
      <c r="H1102" s="4">
        <f>4.8/320.2</f>
        <v>0.014990630855715179</v>
      </c>
    </row>
    <row r="1103" spans="1:8" ht="13.5" thickBot="1">
      <c r="A1103" t="s">
        <v>75</v>
      </c>
      <c r="B1103" s="4">
        <f>0.4/328.6</f>
        <v>0.0012172854534388314</v>
      </c>
      <c r="D1103" t="s">
        <v>5</v>
      </c>
      <c r="E1103" s="3">
        <f>2.4/324.8</f>
        <v>0.007389162561576354</v>
      </c>
      <c r="G1103" t="s">
        <v>1</v>
      </c>
      <c r="H1103" s="4">
        <f>2/320.2</f>
        <v>0.006246096189881325</v>
      </c>
    </row>
    <row r="1104" spans="1:8" ht="13.5" thickBot="1">
      <c r="A1104" t="s">
        <v>7</v>
      </c>
      <c r="B1104" s="3">
        <f>0.2/328.6</f>
        <v>0.0006086427267194157</v>
      </c>
      <c r="E1104" s="1">
        <f>SUM(E1099:E1103)</f>
        <v>1</v>
      </c>
      <c r="G1104" t="s">
        <v>74</v>
      </c>
      <c r="H1104" s="3">
        <f>0.4/320.2</f>
        <v>0.001249219237976265</v>
      </c>
    </row>
    <row r="1105" spans="2:8" ht="12.75">
      <c r="B1105" s="1">
        <f>SUM(B1100:B1104)</f>
        <v>0.9999999999999999</v>
      </c>
      <c r="H1105" s="1">
        <f>SUM(H1100:H1104)</f>
        <v>1</v>
      </c>
    </row>
    <row r="1106" spans="4:5" ht="12.75">
      <c r="D1106" s="22">
        <v>519</v>
      </c>
      <c r="E1106" s="22"/>
    </row>
    <row r="1107" spans="1:8" ht="12.75">
      <c r="A1107" s="22">
        <v>511</v>
      </c>
      <c r="B1107" s="22"/>
      <c r="D1107" t="s">
        <v>3</v>
      </c>
      <c r="E1107" s="4">
        <f>275/328.4</f>
        <v>0.8373934226552985</v>
      </c>
      <c r="G1107" s="22">
        <v>527</v>
      </c>
      <c r="H1107" s="22"/>
    </row>
    <row r="1108" spans="1:8" ht="12.75">
      <c r="A1108" t="s">
        <v>3</v>
      </c>
      <c r="B1108" s="4">
        <f>275/322.2</f>
        <v>0.8535071384233396</v>
      </c>
      <c r="D1108" t="s">
        <v>11</v>
      </c>
      <c r="E1108" s="4">
        <f>30/328.4</f>
        <v>0.09135200974421438</v>
      </c>
      <c r="G1108" t="s">
        <v>3</v>
      </c>
      <c r="H1108" s="4">
        <f>275/321.5</f>
        <v>0.8553654743390358</v>
      </c>
    </row>
    <row r="1109" spans="1:8" ht="12.75">
      <c r="A1109" t="s">
        <v>11</v>
      </c>
      <c r="B1109" s="4">
        <f>40/322.2</f>
        <v>0.12414649286157667</v>
      </c>
      <c r="D1109" t="s">
        <v>1</v>
      </c>
      <c r="E1109" s="4">
        <f>18/328.4</f>
        <v>0.05481120584652863</v>
      </c>
      <c r="G1109" t="s">
        <v>20</v>
      </c>
      <c r="H1109" s="4">
        <f>39/321.5</f>
        <v>0.12130637636080871</v>
      </c>
    </row>
    <row r="1110" spans="1:8" ht="12.75">
      <c r="A1110" t="s">
        <v>75</v>
      </c>
      <c r="B1110" s="4">
        <f>4.8/322.2</f>
        <v>0.0148975791433892</v>
      </c>
      <c r="D1110" t="s">
        <v>18</v>
      </c>
      <c r="E1110" s="4">
        <f>3.4/328.4</f>
        <v>0.010353227771010963</v>
      </c>
      <c r="G1110" t="s">
        <v>1</v>
      </c>
      <c r="H1110" s="4">
        <f>5/321.5</f>
        <v>0.015552099533437015</v>
      </c>
    </row>
    <row r="1111" spans="1:8" ht="13.5" thickBot="1">
      <c r="A1111" t="s">
        <v>1</v>
      </c>
      <c r="B1111" s="4">
        <f>2/322.2</f>
        <v>0.006207324643078833</v>
      </c>
      <c r="D1111" s="7" t="s">
        <v>6</v>
      </c>
      <c r="E1111" s="3">
        <f>2/328.4</f>
        <v>0.006090133982947625</v>
      </c>
      <c r="G1111" t="s">
        <v>18</v>
      </c>
      <c r="H1111" s="3">
        <f>2.5/321.5</f>
        <v>0.007776049766718507</v>
      </c>
    </row>
    <row r="1112" spans="1:8" ht="13.5" thickBot="1">
      <c r="A1112" t="s">
        <v>6</v>
      </c>
      <c r="B1112" s="3">
        <f>0.4/322.2</f>
        <v>0.0012414649286157668</v>
      </c>
      <c r="E1112" s="1">
        <f>SUM(E1107:E1111)</f>
        <v>1.0000000000000002</v>
      </c>
      <c r="H1112" s="1">
        <f>SUM(H1108:H1111)</f>
        <v>1</v>
      </c>
    </row>
    <row r="1113" ht="12.75">
      <c r="B1113" s="1">
        <f>SUM(B1108:B1112)</f>
        <v>1</v>
      </c>
    </row>
    <row r="1114" spans="4:8" ht="12.75">
      <c r="D1114" s="22">
        <v>520</v>
      </c>
      <c r="E1114" s="22"/>
      <c r="G1114" s="22">
        <v>528</v>
      </c>
      <c r="H1114" s="22"/>
    </row>
    <row r="1115" spans="1:8" ht="12.75">
      <c r="A1115" s="22">
        <v>512</v>
      </c>
      <c r="B1115" s="22"/>
      <c r="D1115" t="s">
        <v>3</v>
      </c>
      <c r="E1115" s="4">
        <f>275/329.4</f>
        <v>0.8348512446873103</v>
      </c>
      <c r="G1115" t="s">
        <v>3</v>
      </c>
      <c r="H1115" s="4">
        <f>275/362</f>
        <v>0.7596685082872928</v>
      </c>
    </row>
    <row r="1116" spans="1:8" ht="12.75">
      <c r="A1116" t="s">
        <v>3</v>
      </c>
      <c r="B1116" s="4">
        <f>275/327.6</f>
        <v>0.8394383394383393</v>
      </c>
      <c r="D1116" t="s">
        <v>11</v>
      </c>
      <c r="E1116" s="4">
        <f>28/329.4</f>
        <v>0.08500303582270796</v>
      </c>
      <c r="G1116" t="s">
        <v>1</v>
      </c>
      <c r="H1116" s="4">
        <f>72/362</f>
        <v>0.19889502762430938</v>
      </c>
    </row>
    <row r="1117" spans="1:8" ht="12.75">
      <c r="A1117" t="s">
        <v>11</v>
      </c>
      <c r="B1117" s="4">
        <f>37.8/327.6</f>
        <v>0.11538461538461536</v>
      </c>
      <c r="D1117" t="s">
        <v>1</v>
      </c>
      <c r="E1117" s="4">
        <f>20/329.4</f>
        <v>0.060716454159077116</v>
      </c>
      <c r="G1117" t="s">
        <v>16</v>
      </c>
      <c r="H1117" s="4">
        <f>6/362</f>
        <v>0.016574585635359115</v>
      </c>
    </row>
    <row r="1118" spans="1:8" ht="12.75">
      <c r="A1118" t="s">
        <v>1</v>
      </c>
      <c r="B1118" s="4">
        <f>10/327.6</f>
        <v>0.030525030525030524</v>
      </c>
      <c r="D1118" t="s">
        <v>18</v>
      </c>
      <c r="E1118" s="4">
        <f>5.8/329.4</f>
        <v>0.017607771706132362</v>
      </c>
      <c r="G1118" t="s">
        <v>18</v>
      </c>
      <c r="H1118" s="4">
        <f>4.6/362</f>
        <v>0.012707182320441988</v>
      </c>
    </row>
    <row r="1119" spans="1:8" ht="13.5" thickBot="1">
      <c r="A1119" t="s">
        <v>75</v>
      </c>
      <c r="B1119" s="3">
        <f>4.8/327.6</f>
        <v>0.01465201465201465</v>
      </c>
      <c r="D1119" s="7" t="s">
        <v>6</v>
      </c>
      <c r="E1119" s="3">
        <f>0.6/329.4</f>
        <v>0.0018214936247723133</v>
      </c>
      <c r="G1119" t="s">
        <v>11</v>
      </c>
      <c r="H1119" s="3">
        <f>4.4/362</f>
        <v>0.012154696132596687</v>
      </c>
    </row>
    <row r="1120" spans="2:8" ht="12.75">
      <c r="B1120" s="1">
        <f>SUM(B1116:B1119)</f>
        <v>0.9999999999999999</v>
      </c>
      <c r="E1120" s="1">
        <f>SUM(E1115:E1119)</f>
        <v>1</v>
      </c>
      <c r="H1120" s="1">
        <f>SUM(H1115:H1119)</f>
        <v>1</v>
      </c>
    </row>
    <row r="1121" ht="12" customHeight="1"/>
    <row r="1122" spans="1:8" ht="12.75">
      <c r="A1122" s="22">
        <v>513</v>
      </c>
      <c r="B1122" s="22"/>
      <c r="D1122" s="22">
        <v>521</v>
      </c>
      <c r="E1122" s="22"/>
      <c r="G1122" s="22">
        <v>529</v>
      </c>
      <c r="H1122" s="22"/>
    </row>
    <row r="1123" spans="1:8" ht="12.75">
      <c r="A1123" t="s">
        <v>3</v>
      </c>
      <c r="B1123" s="4">
        <f>275/325.4</f>
        <v>0.8451137062077444</v>
      </c>
      <c r="D1123" t="s">
        <v>3</v>
      </c>
      <c r="E1123" s="4">
        <f>275/366.4</f>
        <v>0.7505458515283844</v>
      </c>
      <c r="G1123" t="s">
        <v>3</v>
      </c>
      <c r="H1123" s="4">
        <f>275/367.6</f>
        <v>0.7480957562568008</v>
      </c>
    </row>
    <row r="1124" spans="1:8" ht="12.75">
      <c r="A1124" t="s">
        <v>20</v>
      </c>
      <c r="B1124" s="4">
        <f>36/325.4</f>
        <v>0.11063306699446836</v>
      </c>
      <c r="D1124" t="s">
        <v>1</v>
      </c>
      <c r="E1124" s="4">
        <f>80/366.4</f>
        <v>0.2183406113537118</v>
      </c>
      <c r="G1124" t="s">
        <v>1</v>
      </c>
      <c r="H1124" s="4">
        <f>90/367.6</f>
        <v>0.24483133841131663</v>
      </c>
    </row>
    <row r="1125" spans="1:8" ht="12.75">
      <c r="A1125" t="s">
        <v>11</v>
      </c>
      <c r="B1125" s="4">
        <f>7.6/325.4</f>
        <v>0.02335586969883221</v>
      </c>
      <c r="D1125" t="s">
        <v>5</v>
      </c>
      <c r="E1125" s="4">
        <f>6.4/366.4</f>
        <v>0.017467248908296946</v>
      </c>
      <c r="G1125" t="s">
        <v>18</v>
      </c>
      <c r="H1125" s="4">
        <f>1.4/367.6</f>
        <v>0.0038084874863982586</v>
      </c>
    </row>
    <row r="1126" spans="1:8" ht="13.5" thickBot="1">
      <c r="A1126" t="s">
        <v>1</v>
      </c>
      <c r="B1126" s="4">
        <f>6.4/325.4</f>
        <v>0.019668100799016597</v>
      </c>
      <c r="D1126" t="s">
        <v>18</v>
      </c>
      <c r="E1126" s="4">
        <f>2.6/366.4</f>
        <v>0.007096069868995634</v>
      </c>
      <c r="G1126" t="s">
        <v>11</v>
      </c>
      <c r="H1126" s="3">
        <f>1.2/367.6</f>
        <v>0.0032644178454842216</v>
      </c>
    </row>
    <row r="1127" spans="1:8" ht="12" customHeight="1" thickBot="1">
      <c r="A1127" t="s">
        <v>75</v>
      </c>
      <c r="B1127" s="3">
        <f>0.4/325.4</f>
        <v>0.0012292562999385373</v>
      </c>
      <c r="D1127" t="s">
        <v>11</v>
      </c>
      <c r="E1127" s="3">
        <f>2.4/366.4</f>
        <v>0.006550218340611354</v>
      </c>
      <c r="H1127" s="1">
        <f>SUM(H1123:H1126)</f>
        <v>1</v>
      </c>
    </row>
    <row r="1128" spans="2:5" ht="12.75">
      <c r="B1128" s="1">
        <f>SUM(B1123:B1127)</f>
        <v>1.0000000000000002</v>
      </c>
      <c r="E1128" s="1">
        <f>SUM(E1123:E1127)</f>
        <v>1</v>
      </c>
    </row>
    <row r="1129" spans="1:8" ht="12.75">
      <c r="A1129" s="22">
        <v>530</v>
      </c>
      <c r="B1129" s="22"/>
      <c r="D1129" s="22">
        <v>538</v>
      </c>
      <c r="E1129" s="22"/>
      <c r="G1129" s="22">
        <v>546</v>
      </c>
      <c r="H1129" s="22"/>
    </row>
    <row r="1130" spans="1:8" ht="12.75">
      <c r="A1130" t="s">
        <v>3</v>
      </c>
      <c r="B1130" s="4">
        <f>275/366.6</f>
        <v>0.7501363884342608</v>
      </c>
      <c r="D1130" t="s">
        <v>3</v>
      </c>
      <c r="E1130" s="4">
        <f>275/365.8</f>
        <v>0.7517769272826681</v>
      </c>
      <c r="G1130" t="s">
        <v>3</v>
      </c>
      <c r="H1130" s="4">
        <f>275/319.2</f>
        <v>0.8615288220551379</v>
      </c>
    </row>
    <row r="1131" spans="1:8" ht="12.75">
      <c r="A1131" t="s">
        <v>1</v>
      </c>
      <c r="B1131" s="4">
        <f>90/366.6</f>
        <v>0.2454991816693944</v>
      </c>
      <c r="D1131" t="s">
        <v>1</v>
      </c>
      <c r="E1131" s="4">
        <f>90/365.8</f>
        <v>0.24603608529250956</v>
      </c>
      <c r="G1131" t="s">
        <v>24</v>
      </c>
      <c r="H1131" s="4">
        <f>38.8/319.2</f>
        <v>0.12155388471177944</v>
      </c>
    </row>
    <row r="1132" spans="1:8" ht="12.75">
      <c r="A1132" t="s">
        <v>18</v>
      </c>
      <c r="B1132" s="4">
        <f>0.8/366.6</f>
        <v>0.002182214948172395</v>
      </c>
      <c r="D1132" t="s">
        <v>75</v>
      </c>
      <c r="E1132" s="4">
        <f>0.5/365.8</f>
        <v>0.001366867140513942</v>
      </c>
      <c r="G1132" t="s">
        <v>2</v>
      </c>
      <c r="H1132" s="4">
        <f>2.6/319.2</f>
        <v>0.008145363408521305</v>
      </c>
    </row>
    <row r="1133" spans="1:8" ht="13.5" thickBot="1">
      <c r="A1133" t="s">
        <v>11</v>
      </c>
      <c r="B1133" s="3">
        <f>0.8/366.6</f>
        <v>0.002182214948172395</v>
      </c>
      <c r="D1133" t="s">
        <v>16</v>
      </c>
      <c r="E1133" s="4">
        <f>0.2/365.8</f>
        <v>0.0005467468562055768</v>
      </c>
      <c r="G1133" t="s">
        <v>1</v>
      </c>
      <c r="H1133" s="4">
        <f>2/319.2</f>
        <v>0.006265664160401003</v>
      </c>
    </row>
    <row r="1134" spans="2:8" ht="13.5" thickBot="1">
      <c r="B1134" s="1">
        <f>SUM(B1130:B1133)</f>
        <v>1</v>
      </c>
      <c r="D1134" t="s">
        <v>6</v>
      </c>
      <c r="E1134" s="3">
        <f>0.1/365.8</f>
        <v>0.0002733734281027884</v>
      </c>
      <c r="G1134" t="s">
        <v>6</v>
      </c>
      <c r="H1134" s="3">
        <f>0.8/319.2</f>
        <v>0.0025062656641604013</v>
      </c>
    </row>
    <row r="1135" spans="5:8" ht="12.75">
      <c r="E1135" s="1">
        <f>SUM(E1130:E1134)</f>
        <v>0.9999999999999999</v>
      </c>
      <c r="H1135" s="1">
        <f>SUM(H1130:H1134)</f>
        <v>1</v>
      </c>
    </row>
    <row r="1136" spans="1:2" ht="12.75">
      <c r="A1136" s="22">
        <v>531</v>
      </c>
      <c r="B1136" s="22"/>
    </row>
    <row r="1137" spans="1:8" ht="12.75">
      <c r="A1137" t="s">
        <v>3</v>
      </c>
      <c r="B1137" s="4">
        <f>275/366</f>
        <v>0.7513661202185792</v>
      </c>
      <c r="D1137" s="22">
        <v>539</v>
      </c>
      <c r="E1137" s="22"/>
      <c r="G1137" s="22">
        <v>547</v>
      </c>
      <c r="H1137" s="22"/>
    </row>
    <row r="1138" spans="1:8" ht="12.75">
      <c r="A1138" t="s">
        <v>1</v>
      </c>
      <c r="B1138" s="4">
        <f>90/366</f>
        <v>0.2459016393442623</v>
      </c>
      <c r="D1138" t="s">
        <v>3</v>
      </c>
      <c r="E1138" s="4">
        <f>275/316.6</f>
        <v>0.8686039166140239</v>
      </c>
      <c r="G1138" t="s">
        <v>3</v>
      </c>
      <c r="H1138" s="4">
        <f>275/309.8</f>
        <v>0.8876694641704325</v>
      </c>
    </row>
    <row r="1139" spans="1:8" ht="12.75">
      <c r="A1139" t="s">
        <v>11</v>
      </c>
      <c r="B1139" s="4">
        <f>0.4/366</f>
        <v>0.001092896174863388</v>
      </c>
      <c r="D1139" t="s">
        <v>24</v>
      </c>
      <c r="E1139" s="4">
        <f>34/316.6</f>
        <v>0.10739102969046115</v>
      </c>
      <c r="G1139" t="s">
        <v>24</v>
      </c>
      <c r="H1139" s="4">
        <f>30/309.8</f>
        <v>0.09683666881859264</v>
      </c>
    </row>
    <row r="1140" spans="1:8" ht="12.75">
      <c r="A1140" t="s">
        <v>5</v>
      </c>
      <c r="B1140" s="4">
        <f>0.4/366</f>
        <v>0.001092896174863388</v>
      </c>
      <c r="D1140" t="s">
        <v>1</v>
      </c>
      <c r="E1140" s="4">
        <f>3/316.6</f>
        <v>0.009475679090334806</v>
      </c>
      <c r="G1140" t="s">
        <v>1</v>
      </c>
      <c r="H1140" s="4">
        <f>3/309.8</f>
        <v>0.009683666881859263</v>
      </c>
    </row>
    <row r="1141" spans="1:8" ht="13.5" thickBot="1">
      <c r="A1141" t="s">
        <v>18</v>
      </c>
      <c r="B1141" s="3">
        <f>0.2/366</f>
        <v>0.000546448087431694</v>
      </c>
      <c r="D1141" t="s">
        <v>6</v>
      </c>
      <c r="E1141" s="4">
        <f>2.6/316.6</f>
        <v>0.0082122552116235</v>
      </c>
      <c r="G1141" t="s">
        <v>2</v>
      </c>
      <c r="H1141" s="4">
        <f>1.6/309.8</f>
        <v>0.005164622336991608</v>
      </c>
    </row>
    <row r="1142" spans="2:8" ht="13.5" thickBot="1">
      <c r="B1142" s="1">
        <f>SUM(B1137:B1141)</f>
        <v>0.9999999999999999</v>
      </c>
      <c r="D1142" t="s">
        <v>19</v>
      </c>
      <c r="E1142" s="3">
        <f>2/316.6</f>
        <v>0.0063171193935565376</v>
      </c>
      <c r="G1142" t="s">
        <v>6</v>
      </c>
      <c r="H1142" s="3">
        <f>0.2/309.8</f>
        <v>0.000645577792123951</v>
      </c>
    </row>
    <row r="1143" spans="5:8" ht="12.75">
      <c r="E1143" s="1">
        <f>SUM(E1138:E1142)</f>
        <v>0.9999999999999998</v>
      </c>
      <c r="H1143" s="1">
        <f>SUM(H1138:H1142)</f>
        <v>0.9999999999999999</v>
      </c>
    </row>
    <row r="1144" spans="1:2" ht="12.75">
      <c r="A1144" s="22">
        <v>532</v>
      </c>
      <c r="B1144" s="22"/>
    </row>
    <row r="1145" spans="1:8" ht="12.75">
      <c r="A1145" t="s">
        <v>3</v>
      </c>
      <c r="B1145" s="4">
        <f>275/324.4</f>
        <v>0.8477188655980272</v>
      </c>
      <c r="D1145" s="22">
        <v>540</v>
      </c>
      <c r="E1145" s="22"/>
      <c r="G1145" s="22">
        <v>548</v>
      </c>
      <c r="H1145" s="22"/>
    </row>
    <row r="1146" spans="1:8" ht="12.75">
      <c r="A1146" t="s">
        <v>75</v>
      </c>
      <c r="B1146" s="4">
        <f>16.4/324.4</f>
        <v>0.050554870530209614</v>
      </c>
      <c r="D1146" t="s">
        <v>3</v>
      </c>
      <c r="E1146" s="4">
        <f>275/320.8</f>
        <v>0.8572319201995012</v>
      </c>
      <c r="G1146" t="s">
        <v>3</v>
      </c>
      <c r="H1146" s="4">
        <f>275/320.8</f>
        <v>0.8572319201995012</v>
      </c>
    </row>
    <row r="1147" spans="1:8" ht="12.75">
      <c r="A1147" t="s">
        <v>6</v>
      </c>
      <c r="B1147" s="4">
        <f>12.4/324.4</f>
        <v>0.03822441430332923</v>
      </c>
      <c r="D1147" t="s">
        <v>24</v>
      </c>
      <c r="E1147" s="4">
        <f>42/320.8</f>
        <v>0.13092269326683292</v>
      </c>
      <c r="G1147" t="s">
        <v>24</v>
      </c>
      <c r="H1147" s="4">
        <f>39.2/320.8</f>
        <v>0.12219451371571073</v>
      </c>
    </row>
    <row r="1148" spans="1:8" ht="12.75">
      <c r="A1148" t="s">
        <v>18</v>
      </c>
      <c r="B1148" s="4">
        <f>11.6/324.4</f>
        <v>0.035758323057953144</v>
      </c>
      <c r="D1148" t="s">
        <v>1</v>
      </c>
      <c r="E1148" s="4">
        <f>2/320.8</f>
        <v>0.006234413965087281</v>
      </c>
      <c r="G1148" t="s">
        <v>1</v>
      </c>
      <c r="H1148" s="4">
        <f>4.8/320.8</f>
        <v>0.014962593516209476</v>
      </c>
    </row>
    <row r="1149" spans="1:8" ht="13.5" thickBot="1">
      <c r="A1149" t="s">
        <v>1</v>
      </c>
      <c r="B1149" s="3">
        <f>9/324.4</f>
        <v>0.02774352651048089</v>
      </c>
      <c r="D1149" t="s">
        <v>19</v>
      </c>
      <c r="E1149" s="4">
        <f>1.2/320.8</f>
        <v>0.003740648379052369</v>
      </c>
      <c r="G1149" t="s">
        <v>2</v>
      </c>
      <c r="H1149" s="3">
        <f>1.8/320.8</f>
        <v>0.005610972568578554</v>
      </c>
    </row>
    <row r="1150" spans="2:8" ht="13.5" thickBot="1">
      <c r="B1150" s="1">
        <f>SUM(B1145:B1149)</f>
        <v>1</v>
      </c>
      <c r="D1150" t="s">
        <v>6</v>
      </c>
      <c r="E1150" s="3">
        <f>0.6/320.8</f>
        <v>0.0018703241895261845</v>
      </c>
      <c r="H1150" s="1">
        <f>SUM(H1146:H1149)</f>
        <v>1</v>
      </c>
    </row>
    <row r="1151" ht="12.75">
      <c r="E1151" s="1">
        <f>SUM(E1146:E1150)</f>
        <v>1</v>
      </c>
    </row>
    <row r="1152" spans="1:8" ht="12.75">
      <c r="A1152" s="22">
        <v>533</v>
      </c>
      <c r="B1152" s="22"/>
      <c r="G1152" s="22">
        <v>549</v>
      </c>
      <c r="H1152" s="22"/>
    </row>
    <row r="1153" spans="1:8" ht="12.75">
      <c r="A1153" t="s">
        <v>3</v>
      </c>
      <c r="B1153" s="4">
        <f>275/345.6</f>
        <v>0.7957175925925926</v>
      </c>
      <c r="D1153" s="22">
        <v>541</v>
      </c>
      <c r="E1153" s="22"/>
      <c r="G1153" t="s">
        <v>3</v>
      </c>
      <c r="H1153" s="4">
        <f>275/363.6</f>
        <v>0.7563256325632562</v>
      </c>
    </row>
    <row r="1154" spans="1:8" ht="12.75">
      <c r="A1154" t="s">
        <v>75</v>
      </c>
      <c r="B1154" s="4">
        <f>47/345.6</f>
        <v>0.13599537037037035</v>
      </c>
      <c r="D1154" t="s">
        <v>3</v>
      </c>
      <c r="E1154" s="4">
        <f>275/335.8</f>
        <v>0.8189398451459201</v>
      </c>
      <c r="G1154" t="s">
        <v>1</v>
      </c>
      <c r="H1154" s="4">
        <f>80/363.6</f>
        <v>0.22002200220022</v>
      </c>
    </row>
    <row r="1155" spans="1:8" ht="12.75">
      <c r="A1155" t="s">
        <v>1</v>
      </c>
      <c r="B1155" s="4">
        <f>14/345.6</f>
        <v>0.04050925925925926</v>
      </c>
      <c r="D1155" t="s">
        <v>10</v>
      </c>
      <c r="E1155" s="4">
        <f>36/335.8</f>
        <v>0.10720667063728409</v>
      </c>
      <c r="G1155" t="s">
        <v>24</v>
      </c>
      <c r="H1155" s="4">
        <f>6/363.6</f>
        <v>0.0165016501650165</v>
      </c>
    </row>
    <row r="1156" spans="1:8" ht="12.75">
      <c r="A1156" t="s">
        <v>18</v>
      </c>
      <c r="B1156" s="4">
        <f>6/345.6</f>
        <v>0.01736111111111111</v>
      </c>
      <c r="D1156" t="s">
        <v>24</v>
      </c>
      <c r="E1156" s="4">
        <f>22/335.8</f>
        <v>0.06551518761167362</v>
      </c>
      <c r="G1156" t="s">
        <v>75</v>
      </c>
      <c r="H1156" s="4">
        <f>1.4/363.6</f>
        <v>0.00385038503850385</v>
      </c>
    </row>
    <row r="1157" spans="1:8" ht="13.5" thickBot="1">
      <c r="A1157" t="s">
        <v>6</v>
      </c>
      <c r="B1157" s="3">
        <f>3.6/345.6</f>
        <v>0.010416666666666666</v>
      </c>
      <c r="D1157" t="s">
        <v>1</v>
      </c>
      <c r="E1157" s="4">
        <f>2/335.8</f>
        <v>0.005955926146515783</v>
      </c>
      <c r="G1157" t="s">
        <v>6</v>
      </c>
      <c r="H1157" s="3">
        <f>1.2/363.6</f>
        <v>0.0033003300330033</v>
      </c>
    </row>
    <row r="1158" spans="2:8" ht="13.5" thickBot="1">
      <c r="B1158" s="1">
        <f>SUM(B1153:B1157)</f>
        <v>1</v>
      </c>
      <c r="D1158" t="s">
        <v>5</v>
      </c>
      <c r="E1158" s="3">
        <f>0.8/335.8</f>
        <v>0.0023823704586063135</v>
      </c>
      <c r="H1158" s="1">
        <f>SUM(H1153:H1157)</f>
        <v>1</v>
      </c>
    </row>
    <row r="1159" ht="12.75">
      <c r="E1159" s="1">
        <f>SUM(E1154:E1158)</f>
        <v>0.9999999999999999</v>
      </c>
    </row>
    <row r="1160" spans="1:8" ht="12.75">
      <c r="A1160" s="22">
        <v>534</v>
      </c>
      <c r="B1160" s="22"/>
      <c r="G1160" s="22">
        <v>550</v>
      </c>
      <c r="H1160" s="22"/>
    </row>
    <row r="1161" spans="1:8" ht="12.75">
      <c r="A1161" t="s">
        <v>3</v>
      </c>
      <c r="B1161" s="4">
        <f>275/349.8</f>
        <v>0.7861635220125786</v>
      </c>
      <c r="D1161" s="22">
        <v>542</v>
      </c>
      <c r="E1161" s="22"/>
      <c r="G1161" t="s">
        <v>3</v>
      </c>
      <c r="H1161" s="4">
        <f>275/368.6</f>
        <v>0.7460661964188822</v>
      </c>
    </row>
    <row r="1162" spans="1:8" ht="12.75">
      <c r="A1162" t="s">
        <v>75</v>
      </c>
      <c r="B1162" s="4">
        <f>49.6/349.8</f>
        <v>0.14179531160663236</v>
      </c>
      <c r="D1162" t="s">
        <v>3</v>
      </c>
      <c r="E1162" s="4">
        <f>275/372.6</f>
        <v>0.7380568974771873</v>
      </c>
      <c r="G1162" t="s">
        <v>1</v>
      </c>
      <c r="H1162" s="4">
        <f>90/368.6</f>
        <v>0.24416711882799783</v>
      </c>
    </row>
    <row r="1163" spans="1:8" ht="12.75">
      <c r="A1163" t="s">
        <v>1</v>
      </c>
      <c r="B1163" s="4">
        <f>16/349.8</f>
        <v>0.045740423098913664</v>
      </c>
      <c r="D1163" t="s">
        <v>1</v>
      </c>
      <c r="E1163" s="4">
        <f>70/372.6</f>
        <v>0.1878690284487386</v>
      </c>
      <c r="G1163" t="s">
        <v>24</v>
      </c>
      <c r="H1163" s="4">
        <f>2/368.6</f>
        <v>0.005425935973955507</v>
      </c>
    </row>
    <row r="1164" spans="1:8" ht="12.75">
      <c r="A1164" t="s">
        <v>18</v>
      </c>
      <c r="B1164" s="4">
        <f>6.8/349.8</f>
        <v>0.019439679817038306</v>
      </c>
      <c r="D1164" t="s">
        <v>75</v>
      </c>
      <c r="E1164" s="4">
        <f>23.4/372.6</f>
        <v>0.06280193236714975</v>
      </c>
      <c r="G1164" t="s">
        <v>75</v>
      </c>
      <c r="H1164" s="4">
        <f>1/368.6</f>
        <v>0.0027129679869777536</v>
      </c>
    </row>
    <row r="1165" spans="1:8" ht="13.5" thickBot="1">
      <c r="A1165" t="s">
        <v>6</v>
      </c>
      <c r="B1165" s="3">
        <f>2.4/349.8</f>
        <v>0.00686106346483705</v>
      </c>
      <c r="D1165" t="s">
        <v>24</v>
      </c>
      <c r="E1165" s="4">
        <f>3.8/372.6</f>
        <v>0.01019860440150295</v>
      </c>
      <c r="G1165" t="s">
        <v>6</v>
      </c>
      <c r="H1165" s="3">
        <f>0.6/368.6</f>
        <v>0.0016277807921866521</v>
      </c>
    </row>
    <row r="1166" spans="2:8" ht="13.5" thickBot="1">
      <c r="B1166" s="1">
        <f>SUM(B1161:B1165)</f>
        <v>1</v>
      </c>
      <c r="D1166" t="s">
        <v>6</v>
      </c>
      <c r="E1166" s="3">
        <f>0.4/372.6</f>
        <v>0.0010735373054213634</v>
      </c>
      <c r="H1166" s="1">
        <f>SUM(H1161:H1165)</f>
        <v>0.9999999999999998</v>
      </c>
    </row>
    <row r="1167" ht="12.75">
      <c r="E1167" s="1">
        <f>SUM(E1162:E1166)</f>
        <v>0.9999999999999999</v>
      </c>
    </row>
    <row r="1168" spans="1:8" ht="12" customHeight="1">
      <c r="A1168" s="22">
        <v>535</v>
      </c>
      <c r="B1168" s="22"/>
      <c r="G1168" s="22">
        <v>551</v>
      </c>
      <c r="H1168" s="22"/>
    </row>
    <row r="1169" spans="1:8" ht="12" customHeight="1">
      <c r="A1169" t="s">
        <v>3</v>
      </c>
      <c r="B1169" s="4">
        <f>275/368.9</f>
        <v>0.7454594741122256</v>
      </c>
      <c r="D1169" s="22">
        <v>543</v>
      </c>
      <c r="E1169" s="22"/>
      <c r="G1169" t="s">
        <v>3</v>
      </c>
      <c r="H1169" s="4">
        <f>275/362.7</f>
        <v>0.758202371105597</v>
      </c>
    </row>
    <row r="1170" spans="1:8" ht="12" customHeight="1">
      <c r="A1170" t="s">
        <v>1</v>
      </c>
      <c r="B1170" s="4">
        <f>86/368.9</f>
        <v>0.23312550826782327</v>
      </c>
      <c r="D1170" t="s">
        <v>3</v>
      </c>
      <c r="E1170" s="4">
        <f>275/366.8</f>
        <v>0.7497273718647764</v>
      </c>
      <c r="G1170" t="s">
        <v>1</v>
      </c>
      <c r="H1170" s="4">
        <f>86/362.7</f>
        <v>0.23711055969120487</v>
      </c>
    </row>
    <row r="1171" spans="1:8" ht="12" customHeight="1">
      <c r="A1171" t="s">
        <v>75</v>
      </c>
      <c r="B1171" s="4">
        <f>6.6/368.9</f>
        <v>0.017891027378693414</v>
      </c>
      <c r="D1171" t="s">
        <v>1</v>
      </c>
      <c r="E1171" s="4">
        <f>84/366.8</f>
        <v>0.22900763358778625</v>
      </c>
      <c r="G1171" t="s">
        <v>24</v>
      </c>
      <c r="H1171" s="4">
        <f>1/362.7</f>
        <v>0.0027570995312930797</v>
      </c>
    </row>
    <row r="1172" spans="1:8" ht="12" customHeight="1">
      <c r="A1172" t="s">
        <v>18</v>
      </c>
      <c r="B1172" s="4">
        <f>0.7/368.9</f>
        <v>0.0018975332068311196</v>
      </c>
      <c r="D1172" t="s">
        <v>75</v>
      </c>
      <c r="E1172" s="4">
        <f>7/366.8</f>
        <v>0.019083969465648856</v>
      </c>
      <c r="G1172" t="s">
        <v>75</v>
      </c>
      <c r="H1172" s="4">
        <f>0.4/362.7</f>
        <v>0.0011028398125172319</v>
      </c>
    </row>
    <row r="1173" spans="1:8" ht="12" customHeight="1" thickBot="1">
      <c r="A1173" t="s">
        <v>6</v>
      </c>
      <c r="B1173" s="3">
        <f>0.6/368.9</f>
        <v>0.001626457034426674</v>
      </c>
      <c r="D1173" t="s">
        <v>24</v>
      </c>
      <c r="E1173" s="4">
        <f>0.6/366.8</f>
        <v>0.0016357688113413304</v>
      </c>
      <c r="G1173" t="s">
        <v>6</v>
      </c>
      <c r="H1173" s="3">
        <f>0.3/362.7</f>
        <v>0.0008271298593879239</v>
      </c>
    </row>
    <row r="1174" spans="2:8" ht="13.5" thickBot="1">
      <c r="B1174" s="1">
        <f>SUM(B1169:B1173)</f>
        <v>1.0000000000000002</v>
      </c>
      <c r="D1174" t="s">
        <v>6</v>
      </c>
      <c r="E1174" s="3">
        <f>0.2/366.8</f>
        <v>0.0005452562704471102</v>
      </c>
      <c r="H1174" s="1">
        <f>SUM(H1169:H1173)</f>
        <v>1</v>
      </c>
    </row>
    <row r="1175" ht="12.75">
      <c r="E1175" s="1">
        <f>SUM(E1170:E1174)</f>
        <v>1</v>
      </c>
    </row>
    <row r="1176" spans="1:8" ht="12.75">
      <c r="A1176" s="22">
        <v>536</v>
      </c>
      <c r="B1176" s="22"/>
      <c r="G1176" s="22">
        <v>552</v>
      </c>
      <c r="H1176" s="22"/>
    </row>
    <row r="1177" spans="1:8" ht="12" customHeight="1">
      <c r="A1177" t="s">
        <v>3</v>
      </c>
      <c r="B1177" s="4">
        <f>275/359.3</f>
        <v>0.7653771221820206</v>
      </c>
      <c r="D1177" s="22">
        <v>544</v>
      </c>
      <c r="E1177" s="22"/>
      <c r="G1177" t="s">
        <v>3</v>
      </c>
      <c r="H1177" s="4">
        <f>275/331.4</f>
        <v>0.8298129149064575</v>
      </c>
    </row>
    <row r="1178" spans="1:8" ht="12" customHeight="1">
      <c r="A1178" t="s">
        <v>1</v>
      </c>
      <c r="B1178" s="4">
        <f>80/359.3</f>
        <v>0.22265516281658781</v>
      </c>
      <c r="D1178" t="s">
        <v>3</v>
      </c>
      <c r="E1178" s="4">
        <f>275/368</f>
        <v>0.7472826086956522</v>
      </c>
      <c r="G1178" t="s">
        <v>1</v>
      </c>
      <c r="H1178" s="4">
        <f>56/331.4</f>
        <v>0.16898008449004226</v>
      </c>
    </row>
    <row r="1179" spans="1:8" ht="12" customHeight="1">
      <c r="A1179" t="s">
        <v>75</v>
      </c>
      <c r="B1179" s="4">
        <f>3.6/359.3</f>
        <v>0.01001948232674645</v>
      </c>
      <c r="D1179" t="s">
        <v>1</v>
      </c>
      <c r="E1179" s="4">
        <f>90/368</f>
        <v>0.24456521739130435</v>
      </c>
      <c r="G1179" t="s">
        <v>24</v>
      </c>
      <c r="H1179" s="4">
        <f>0.2/331.4</f>
        <v>0.000603500301750151</v>
      </c>
    </row>
    <row r="1180" spans="1:8" ht="12" customHeight="1">
      <c r="A1180" t="s">
        <v>18</v>
      </c>
      <c r="B1180" s="4">
        <f>0.4/359.3</f>
        <v>0.001113275814082939</v>
      </c>
      <c r="D1180" t="s">
        <v>75</v>
      </c>
      <c r="E1180" s="4">
        <f>2.6/368</f>
        <v>0.007065217391304348</v>
      </c>
      <c r="G1180" t="s">
        <v>75</v>
      </c>
      <c r="H1180" s="4">
        <f>0.1/331.4</f>
        <v>0.0003017501508750755</v>
      </c>
    </row>
    <row r="1181" spans="1:8" ht="12" customHeight="1" thickBot="1">
      <c r="A1181" t="s">
        <v>6</v>
      </c>
      <c r="B1181" s="3">
        <f>0.3/359.3</f>
        <v>0.0008349568605622043</v>
      </c>
      <c r="D1181" t="s">
        <v>24</v>
      </c>
      <c r="E1181" s="4">
        <f>0.2/368</f>
        <v>0.0005434782608695652</v>
      </c>
      <c r="G1181" t="s">
        <v>6</v>
      </c>
      <c r="H1181" s="3">
        <f>0.1/331.4</f>
        <v>0.0003017501508750755</v>
      </c>
    </row>
    <row r="1182" spans="2:8" ht="12" customHeight="1" thickBot="1">
      <c r="B1182" s="1">
        <f>SUM(B1177:B1181)</f>
        <v>1</v>
      </c>
      <c r="D1182" t="s">
        <v>6</v>
      </c>
      <c r="E1182" s="3">
        <f>0.2/368</f>
        <v>0.0005434782608695652</v>
      </c>
      <c r="H1182" s="1">
        <f>SUM(H1177:H1181)</f>
        <v>1</v>
      </c>
    </row>
    <row r="1183" ht="12" customHeight="1">
      <c r="E1183" s="1">
        <f>SUM(E1178:E1182)</f>
        <v>1</v>
      </c>
    </row>
    <row r="1184" spans="1:8" ht="12" customHeight="1">
      <c r="A1184" s="22">
        <v>537</v>
      </c>
      <c r="B1184" s="22"/>
      <c r="G1184" s="22">
        <v>553</v>
      </c>
      <c r="H1184" s="22"/>
    </row>
    <row r="1185" spans="1:8" ht="12.75">
      <c r="A1185" t="s">
        <v>3</v>
      </c>
      <c r="B1185" s="4">
        <f>275/366.5</f>
        <v>0.7503410641200545</v>
      </c>
      <c r="D1185" s="22">
        <v>545</v>
      </c>
      <c r="E1185" s="22"/>
      <c r="G1185" t="s">
        <v>3</v>
      </c>
      <c r="H1185" s="4">
        <f>275/329.4</f>
        <v>0.8348512446873103</v>
      </c>
    </row>
    <row r="1186" spans="1:8" ht="12" customHeight="1">
      <c r="A1186" t="s">
        <v>1</v>
      </c>
      <c r="B1186" s="4">
        <f>90/366.5</f>
        <v>0.24556616643929058</v>
      </c>
      <c r="D1186" t="s">
        <v>3</v>
      </c>
      <c r="E1186" s="4">
        <f>275/356.5</f>
        <v>0.7713884992987378</v>
      </c>
      <c r="G1186" t="s">
        <v>2</v>
      </c>
      <c r="H1186" s="4">
        <f>20/329.4</f>
        <v>0.060716454159077116</v>
      </c>
    </row>
    <row r="1187" spans="1:8" ht="12" customHeight="1">
      <c r="A1187" t="s">
        <v>75</v>
      </c>
      <c r="B1187" s="4">
        <f>1.2/366.5</f>
        <v>0.0032742155525238743</v>
      </c>
      <c r="D1187" t="s">
        <v>1</v>
      </c>
      <c r="E1187" s="4">
        <f>80/356.5</f>
        <v>0.2244039270687237</v>
      </c>
      <c r="G1187" t="s">
        <v>24</v>
      </c>
      <c r="H1187" s="4">
        <f>19.4/329.4</f>
        <v>0.0588949605343048</v>
      </c>
    </row>
    <row r="1188" spans="1:8" ht="11.25" customHeight="1">
      <c r="A1188" t="s">
        <v>6</v>
      </c>
      <c r="B1188" s="4">
        <f>0.2/366.5</f>
        <v>0.0005457025920873125</v>
      </c>
      <c r="D1188" t="s">
        <v>16</v>
      </c>
      <c r="E1188" s="4">
        <f>1/356.5</f>
        <v>0.002805049088359046</v>
      </c>
      <c r="G1188" t="s">
        <v>6</v>
      </c>
      <c r="H1188" s="4">
        <f>7.6/329.4</f>
        <v>0.0230722525804493</v>
      </c>
    </row>
    <row r="1189" spans="1:8" ht="12" customHeight="1" thickBot="1">
      <c r="A1189" t="s">
        <v>18</v>
      </c>
      <c r="B1189" s="3">
        <f>0.1/366.5</f>
        <v>0.00027285129604365623</v>
      </c>
      <c r="D1189" t="s">
        <v>24</v>
      </c>
      <c r="E1189" s="4">
        <f>0.4/356.5</f>
        <v>0.0011220196353436186</v>
      </c>
      <c r="G1189" t="s">
        <v>1</v>
      </c>
      <c r="H1189" s="3">
        <f>7.4/329.4</f>
        <v>0.022465088038858532</v>
      </c>
    </row>
    <row r="1190" spans="2:8" ht="13.5" thickBot="1">
      <c r="B1190" s="1">
        <f>SUM(B1185:B1189)</f>
        <v>0.9999999999999999</v>
      </c>
      <c r="D1190" t="s">
        <v>6</v>
      </c>
      <c r="E1190" s="3">
        <f>0.1/356.5</f>
        <v>0.00028050490883590464</v>
      </c>
      <c r="H1190" s="1">
        <f>SUM(H1185:H1189)</f>
        <v>1</v>
      </c>
    </row>
    <row r="1191" ht="12.75">
      <c r="E1191" s="1">
        <f>SUM(E1186:E1190)</f>
        <v>1</v>
      </c>
    </row>
    <row r="1192" spans="1:8" ht="12.75">
      <c r="A1192" s="22">
        <v>554</v>
      </c>
      <c r="B1192" s="22"/>
      <c r="D1192" s="22">
        <v>562</v>
      </c>
      <c r="E1192" s="22"/>
      <c r="G1192" s="22">
        <v>570</v>
      </c>
      <c r="H1192" s="22"/>
    </row>
    <row r="1193" spans="1:8" ht="12.75">
      <c r="A1193" t="s">
        <v>3</v>
      </c>
      <c r="B1193" s="4">
        <f>275/345</f>
        <v>0.7971014492753623</v>
      </c>
      <c r="D1193" t="s">
        <v>3</v>
      </c>
      <c r="E1193" s="4">
        <f>275/328.8</f>
        <v>0.8363746958637469</v>
      </c>
      <c r="G1193" t="s">
        <v>3</v>
      </c>
      <c r="H1193" s="4">
        <f>275/328.2</f>
        <v>0.837903717245582</v>
      </c>
    </row>
    <row r="1194" spans="1:8" ht="12.75">
      <c r="A1194" t="s">
        <v>75</v>
      </c>
      <c r="B1194" s="4">
        <f>57/345</f>
        <v>0.16521739130434782</v>
      </c>
      <c r="D1194" t="s">
        <v>1</v>
      </c>
      <c r="E1194" s="4">
        <f>36/328.8</f>
        <v>0.1094890510948905</v>
      </c>
      <c r="G1194" t="s">
        <v>1</v>
      </c>
      <c r="H1194" s="4">
        <f>50/328.2</f>
        <v>0.15234613040828762</v>
      </c>
    </row>
    <row r="1195" spans="1:8" ht="12.75">
      <c r="A1195" t="s">
        <v>2</v>
      </c>
      <c r="B1195" s="4">
        <f>7/345</f>
        <v>0.020289855072463767</v>
      </c>
      <c r="D1195" t="s">
        <v>19</v>
      </c>
      <c r="E1195" s="4">
        <f>14/328.8</f>
        <v>0.04257907542579075</v>
      </c>
      <c r="G1195" t="s">
        <v>5</v>
      </c>
      <c r="H1195" s="4">
        <f>1.6/328.2</f>
        <v>0.004875076173065204</v>
      </c>
    </row>
    <row r="1196" spans="1:8" ht="11.25" customHeight="1" thickBot="1">
      <c r="A1196" t="s">
        <v>1</v>
      </c>
      <c r="B1196" s="3">
        <f>6/345</f>
        <v>0.017391304347826087</v>
      </c>
      <c r="D1196" t="s">
        <v>6</v>
      </c>
      <c r="E1196" s="4">
        <f>2/328.8</f>
        <v>0.00608272506082725</v>
      </c>
      <c r="G1196" t="s">
        <v>19</v>
      </c>
      <c r="H1196" s="4">
        <f>1.4/328.2</f>
        <v>0.0042656916514320535</v>
      </c>
    </row>
    <row r="1197" spans="2:8" ht="12" customHeight="1" thickBot="1">
      <c r="B1197" s="1">
        <f>SUM(B1193:B1196)</f>
        <v>0.9999999999999999</v>
      </c>
      <c r="D1197" t="s">
        <v>2</v>
      </c>
      <c r="E1197" s="3">
        <f>1.8/328.8</f>
        <v>0.005474452554744526</v>
      </c>
      <c r="G1197" t="s">
        <v>6</v>
      </c>
      <c r="H1197" s="3">
        <f>0.2/328.2</f>
        <v>0.0006093845216331506</v>
      </c>
    </row>
    <row r="1198" spans="5:8" ht="12" customHeight="1">
      <c r="E1198" s="1">
        <f>SUM(E1193:E1197)</f>
        <v>1</v>
      </c>
      <c r="H1198" s="1">
        <f>SUM(H1193:H1197)</f>
        <v>1</v>
      </c>
    </row>
    <row r="1199" spans="1:2" ht="12.75">
      <c r="A1199" s="22">
        <v>555</v>
      </c>
      <c r="B1199" s="22"/>
    </row>
    <row r="1200" spans="1:8" ht="12" customHeight="1">
      <c r="A1200" t="s">
        <v>3</v>
      </c>
      <c r="B1200" s="4">
        <f>275/344</f>
        <v>0.7994186046511628</v>
      </c>
      <c r="D1200" s="22">
        <v>563</v>
      </c>
      <c r="E1200" s="22"/>
      <c r="G1200" s="22">
        <v>571</v>
      </c>
      <c r="H1200" s="22"/>
    </row>
    <row r="1201" spans="1:8" ht="12" customHeight="1">
      <c r="A1201" t="s">
        <v>1</v>
      </c>
      <c r="B1201" s="4">
        <f>34/344</f>
        <v>0.09883720930232558</v>
      </c>
      <c r="D1201" t="s">
        <v>3</v>
      </c>
      <c r="E1201" s="4">
        <f>275/366.8</f>
        <v>0.7497273718647764</v>
      </c>
      <c r="G1201" t="s">
        <v>3</v>
      </c>
      <c r="H1201" s="4">
        <f>275/356.9</f>
        <v>0.7705239562902775</v>
      </c>
    </row>
    <row r="1202" spans="1:8" ht="12.75">
      <c r="A1202" t="s">
        <v>24</v>
      </c>
      <c r="B1202" s="4">
        <f>21.4/344</f>
        <v>0.06220930232558139</v>
      </c>
      <c r="D1202" t="s">
        <v>1</v>
      </c>
      <c r="E1202" s="4">
        <f>83/366.8</f>
        <v>0.2262813522355507</v>
      </c>
      <c r="G1202" t="s">
        <v>1</v>
      </c>
      <c r="H1202" s="4">
        <f>80/356.9</f>
        <v>0.22415242364808072</v>
      </c>
    </row>
    <row r="1203" spans="1:8" ht="12.75">
      <c r="A1203" t="s">
        <v>2</v>
      </c>
      <c r="B1203" s="4">
        <f>11.6/344</f>
        <v>0.033720930232558136</v>
      </c>
      <c r="D1203" t="s">
        <v>5</v>
      </c>
      <c r="E1203" s="4">
        <f>6.4/366.8</f>
        <v>0.017448200654307525</v>
      </c>
      <c r="G1203" t="s">
        <v>5</v>
      </c>
      <c r="H1203" s="4">
        <f>1.2/356.9</f>
        <v>0.0033622863547212107</v>
      </c>
    </row>
    <row r="1204" spans="1:8" ht="13.5" thickBot="1">
      <c r="A1204" t="s">
        <v>6</v>
      </c>
      <c r="B1204" s="3">
        <f>2/344</f>
        <v>0.005813953488372093</v>
      </c>
      <c r="D1204" t="s">
        <v>19</v>
      </c>
      <c r="E1204" s="4">
        <f>1.8/366.8</f>
        <v>0.004907306434023991</v>
      </c>
      <c r="G1204" t="s">
        <v>19</v>
      </c>
      <c r="H1204" s="4">
        <f>0.6/356.9</f>
        <v>0.0016811431773606053</v>
      </c>
    </row>
    <row r="1205" spans="2:8" ht="13.5" thickBot="1">
      <c r="B1205" s="1">
        <f>SUM(B1200:B1204)</f>
        <v>1</v>
      </c>
      <c r="D1205" t="s">
        <v>6</v>
      </c>
      <c r="E1205" s="3">
        <f>0.6/366.8</f>
        <v>0.0016357688113413304</v>
      </c>
      <c r="G1205" t="s">
        <v>6</v>
      </c>
      <c r="H1205" s="3">
        <f>0.1/356.9</f>
        <v>0.0002801905295601009</v>
      </c>
    </row>
    <row r="1206" spans="5:8" ht="12.75">
      <c r="E1206" s="1">
        <f>SUM(E1201:E1205)</f>
        <v>1</v>
      </c>
      <c r="H1206" s="1">
        <f>SUM(H1201:H1205)</f>
        <v>1.0000000000000002</v>
      </c>
    </row>
    <row r="1207" spans="1:2" ht="12.75">
      <c r="A1207" s="22">
        <v>556</v>
      </c>
      <c r="B1207" s="22"/>
    </row>
    <row r="1208" spans="1:8" ht="12.75">
      <c r="A1208" t="s">
        <v>3</v>
      </c>
      <c r="B1208" s="4">
        <f>275/370.3</f>
        <v>0.7426411018093437</v>
      </c>
      <c r="D1208" s="22">
        <v>564</v>
      </c>
      <c r="E1208" s="22"/>
      <c r="G1208" s="22">
        <v>572</v>
      </c>
      <c r="H1208" s="22"/>
    </row>
    <row r="1209" spans="1:8" ht="12.75">
      <c r="A1209" t="s">
        <v>1</v>
      </c>
      <c r="B1209" s="4">
        <f>90/370.3</f>
        <v>0.24304617877396706</v>
      </c>
      <c r="D1209" t="s">
        <v>3</v>
      </c>
      <c r="E1209" s="4">
        <f>275/370</f>
        <v>0.7432432432432432</v>
      </c>
      <c r="G1209" t="s">
        <v>3</v>
      </c>
      <c r="H1209" s="4">
        <f>275/367.6</f>
        <v>0.7480957562568008</v>
      </c>
    </row>
    <row r="1210" spans="1:8" ht="12.75">
      <c r="A1210" t="s">
        <v>24</v>
      </c>
      <c r="B1210" s="4">
        <f>2.8/370.3</f>
        <v>0.007561436672967863</v>
      </c>
      <c r="D1210" t="s">
        <v>1</v>
      </c>
      <c r="E1210" s="4">
        <f>90/370</f>
        <v>0.24324324324324326</v>
      </c>
      <c r="G1210" t="s">
        <v>1</v>
      </c>
      <c r="H1210" s="4">
        <f>90/367.6</f>
        <v>0.24483133841131663</v>
      </c>
    </row>
    <row r="1211" spans="1:8" ht="12.75">
      <c r="A1211" t="s">
        <v>2</v>
      </c>
      <c r="B1211" s="4">
        <f>1.8/370.3</f>
        <v>0.004860923575479341</v>
      </c>
      <c r="D1211" t="s">
        <v>5</v>
      </c>
      <c r="E1211" s="4">
        <f>3.8/370</f>
        <v>0.01027027027027027</v>
      </c>
      <c r="G1211" t="s">
        <v>5</v>
      </c>
      <c r="H1211" s="4">
        <f>2/367.6</f>
        <v>0.005440696409140369</v>
      </c>
    </row>
    <row r="1212" spans="1:8" ht="13.5" thickBot="1">
      <c r="A1212" t="s">
        <v>6</v>
      </c>
      <c r="B1212" s="3">
        <f>0.7/370.3</f>
        <v>0.0018903591682419658</v>
      </c>
      <c r="D1212" t="s">
        <v>19</v>
      </c>
      <c r="E1212" s="4">
        <f>0.9/370</f>
        <v>0.0024324324324324323</v>
      </c>
      <c r="G1212" t="s">
        <v>19</v>
      </c>
      <c r="H1212" s="4">
        <f>0.4/367.6</f>
        <v>0.001088139281828074</v>
      </c>
    </row>
    <row r="1213" spans="2:8" ht="13.5" thickBot="1">
      <c r="B1213" s="1">
        <f>SUM(B1208:B1212)</f>
        <v>0.9999999999999999</v>
      </c>
      <c r="D1213" t="s">
        <v>6</v>
      </c>
      <c r="E1213" s="3">
        <f>0.3/370</f>
        <v>0.0008108108108108108</v>
      </c>
      <c r="G1213" t="s">
        <v>6</v>
      </c>
      <c r="H1213" s="3">
        <f>0.2/367.6</f>
        <v>0.000544069640914037</v>
      </c>
    </row>
    <row r="1214" spans="5:8" ht="12" customHeight="1">
      <c r="E1214" s="1">
        <f>SUM(E1209:E1213)</f>
        <v>0.9999999999999999</v>
      </c>
      <c r="H1214" s="1">
        <f>SUM(H1209:H1213)</f>
        <v>0.9999999999999999</v>
      </c>
    </row>
    <row r="1215" spans="1:2" ht="11.25" customHeight="1">
      <c r="A1215" s="22">
        <v>557</v>
      </c>
      <c r="B1215" s="22"/>
    </row>
    <row r="1216" spans="1:8" ht="12.75">
      <c r="A1216" t="s">
        <v>3</v>
      </c>
      <c r="B1216" s="4">
        <f>275/379.3</f>
        <v>0.7250197732665437</v>
      </c>
      <c r="D1216" s="22">
        <v>565</v>
      </c>
      <c r="E1216" s="22"/>
      <c r="G1216" s="22">
        <v>573</v>
      </c>
      <c r="H1216" s="22"/>
    </row>
    <row r="1217" spans="1:8" ht="12.75">
      <c r="A1217" t="s">
        <v>1</v>
      </c>
      <c r="B1217" s="4">
        <f>95/379.3</f>
        <v>0.25046137621935144</v>
      </c>
      <c r="D1217" t="s">
        <v>3</v>
      </c>
      <c r="E1217" s="4">
        <f>275/356.8</f>
        <v>0.7707399103139013</v>
      </c>
      <c r="G1217" t="s">
        <v>3</v>
      </c>
      <c r="H1217" s="4">
        <f>275/327.5</f>
        <v>0.8396946564885496</v>
      </c>
    </row>
    <row r="1218" spans="1:8" ht="12.75">
      <c r="A1218" t="s">
        <v>5</v>
      </c>
      <c r="B1218" s="4">
        <f>8/379.3</f>
        <v>0.021091484313208543</v>
      </c>
      <c r="D1218" t="s">
        <v>1</v>
      </c>
      <c r="E1218" s="4">
        <f>80/356.8</f>
        <v>0.22421524663677128</v>
      </c>
      <c r="G1218" t="s">
        <v>1</v>
      </c>
      <c r="H1218" s="4">
        <f>51/327.5</f>
        <v>0.15572519083969466</v>
      </c>
    </row>
    <row r="1219" spans="1:8" ht="12.75">
      <c r="A1219" t="s">
        <v>24</v>
      </c>
      <c r="B1219" s="4">
        <f>0.7/379.3</f>
        <v>0.0018455048774057472</v>
      </c>
      <c r="D1219" t="s">
        <v>5</v>
      </c>
      <c r="E1219" s="4">
        <f>1/356.8</f>
        <v>0.002802690582959641</v>
      </c>
      <c r="G1219" t="s">
        <v>16</v>
      </c>
      <c r="H1219" s="4">
        <f>0.8/327.5</f>
        <v>0.0024427480916030535</v>
      </c>
    </row>
    <row r="1220" spans="1:8" ht="13.5" thickBot="1">
      <c r="A1220" t="s">
        <v>6</v>
      </c>
      <c r="B1220" s="3">
        <f>0.6/379.3</f>
        <v>0.0015818613234906405</v>
      </c>
      <c r="D1220" t="s">
        <v>19</v>
      </c>
      <c r="E1220" s="4">
        <f>0.6/356.8</f>
        <v>0.0016816143497757846</v>
      </c>
      <c r="G1220" t="s">
        <v>5</v>
      </c>
      <c r="H1220" s="4">
        <f>0.6/327.5</f>
        <v>0.00183206106870229</v>
      </c>
    </row>
    <row r="1221" spans="2:8" ht="13.5" thickBot="1">
      <c r="B1221" s="1">
        <f>SUM(B1216:B1220)</f>
        <v>0.9999999999999999</v>
      </c>
      <c r="D1221" t="s">
        <v>7</v>
      </c>
      <c r="E1221" s="3">
        <f>0.2/356.8</f>
        <v>0.0005605381165919282</v>
      </c>
      <c r="G1221" t="s">
        <v>19</v>
      </c>
      <c r="H1221" s="3">
        <f>0.1/327.5</f>
        <v>0.0003053435114503817</v>
      </c>
    </row>
    <row r="1222" spans="5:8" ht="12" customHeight="1">
      <c r="E1222" s="1">
        <f>SUM(E1217:E1221)</f>
        <v>1</v>
      </c>
      <c r="H1222" s="1">
        <f>SUM(H1217:H1221)</f>
        <v>1</v>
      </c>
    </row>
    <row r="1223" spans="1:2" ht="12.75">
      <c r="A1223" s="22">
        <v>558</v>
      </c>
      <c r="B1223" s="22"/>
    </row>
    <row r="1224" spans="1:8" ht="12.75">
      <c r="A1224" t="s">
        <v>3</v>
      </c>
      <c r="B1224" s="4">
        <f>275/380.8</f>
        <v>0.7221638655462185</v>
      </c>
      <c r="D1224" s="22">
        <v>566</v>
      </c>
      <c r="E1224" s="22"/>
      <c r="G1224" s="22">
        <v>574</v>
      </c>
      <c r="H1224" s="22"/>
    </row>
    <row r="1225" spans="1:8" ht="12.75">
      <c r="A1225" t="s">
        <v>1</v>
      </c>
      <c r="B1225" s="4">
        <f>100/380.8</f>
        <v>0.26260504201680673</v>
      </c>
      <c r="D1225" t="s">
        <v>3</v>
      </c>
      <c r="E1225" s="4">
        <f>275/355.5</f>
        <v>0.7735583684950773</v>
      </c>
      <c r="G1225" t="s">
        <v>3</v>
      </c>
      <c r="H1225" s="4">
        <f>275/326.6</f>
        <v>0.8420085731781995</v>
      </c>
    </row>
    <row r="1226" spans="1:8" ht="12.75">
      <c r="A1226" t="s">
        <v>5</v>
      </c>
      <c r="B1226" s="4">
        <f>5/380.8</f>
        <v>0.013130252100840336</v>
      </c>
      <c r="D1226" t="s">
        <v>1</v>
      </c>
      <c r="E1226" s="4">
        <f>80/355.5</f>
        <v>0.2250351617440225</v>
      </c>
      <c r="G1226" t="s">
        <v>2</v>
      </c>
      <c r="H1226" s="4">
        <f>42/326.6</f>
        <v>0.12859767299448865</v>
      </c>
    </row>
    <row r="1227" spans="1:8" ht="12.75">
      <c r="A1227" t="s">
        <v>24</v>
      </c>
      <c r="B1227" s="4">
        <f>0.4/380.8</f>
        <v>0.0010504201680672268</v>
      </c>
      <c r="D1227" t="s">
        <v>5</v>
      </c>
      <c r="E1227" s="4">
        <f>0.2/355.5</f>
        <v>0.0005625879043600563</v>
      </c>
      <c r="G1227" t="s">
        <v>6</v>
      </c>
      <c r="H1227" s="4">
        <f>6.6/326.6</f>
        <v>0.020208205756276788</v>
      </c>
    </row>
    <row r="1228" spans="1:8" ht="13.5" thickBot="1">
      <c r="A1228" t="s">
        <v>6</v>
      </c>
      <c r="B1228" s="3">
        <f>0.4/380.8</f>
        <v>0.0010504201680672268</v>
      </c>
      <c r="D1228" t="s">
        <v>19</v>
      </c>
      <c r="E1228" s="4">
        <f>0.2/355.5</f>
        <v>0.0005625879043600563</v>
      </c>
      <c r="G1228" t="s">
        <v>1</v>
      </c>
      <c r="H1228" s="3">
        <f>3/326.6</f>
        <v>0.009185548071034904</v>
      </c>
    </row>
    <row r="1229" spans="2:8" ht="13.5" thickBot="1">
      <c r="B1229" s="1">
        <f>SUM(B1224:B1228)</f>
        <v>1</v>
      </c>
      <c r="D1229" t="s">
        <v>7</v>
      </c>
      <c r="E1229" s="3">
        <f>0.1/355.5</f>
        <v>0.00028129395218002813</v>
      </c>
      <c r="H1229" s="1">
        <f>SUM(H1225:H1228)</f>
        <v>0.9999999999999999</v>
      </c>
    </row>
    <row r="1230" ht="11.25" customHeight="1">
      <c r="E1230" s="1">
        <f>SUM(E1225:E1229)</f>
        <v>0.9999999999999999</v>
      </c>
    </row>
    <row r="1231" spans="1:8" ht="11.25" customHeight="1">
      <c r="A1231" s="22">
        <v>559</v>
      </c>
      <c r="B1231" s="22"/>
      <c r="G1231" s="22">
        <v>575</v>
      </c>
      <c r="H1231" s="22"/>
    </row>
    <row r="1232" spans="1:8" ht="12.75">
      <c r="A1232" t="s">
        <v>3</v>
      </c>
      <c r="B1232" s="4">
        <f>275/357.3</f>
        <v>0.7696613490064371</v>
      </c>
      <c r="D1232" s="22">
        <v>567</v>
      </c>
      <c r="E1232" s="22"/>
      <c r="G1232" t="s">
        <v>3</v>
      </c>
      <c r="H1232" s="4">
        <f>275/325.2</f>
        <v>0.8456334563345633</v>
      </c>
    </row>
    <row r="1233" spans="1:8" ht="11.25" customHeight="1">
      <c r="A1233" t="s">
        <v>1</v>
      </c>
      <c r="B1233" s="4">
        <f>80/357.3</f>
        <v>0.22390148334732718</v>
      </c>
      <c r="D1233" t="s">
        <v>3</v>
      </c>
      <c r="E1233" s="4">
        <f>275/302.8</f>
        <v>0.9081902245706737</v>
      </c>
      <c r="G1233" t="s">
        <v>2</v>
      </c>
      <c r="H1233" s="4">
        <f>40/325.2</f>
        <v>0.12300123001230012</v>
      </c>
    </row>
    <row r="1234" spans="1:8" ht="12.75">
      <c r="A1234" t="s">
        <v>5</v>
      </c>
      <c r="B1234" s="4">
        <f>2/357.3</f>
        <v>0.005597537083683179</v>
      </c>
      <c r="D1234" t="s">
        <v>19</v>
      </c>
      <c r="E1234" s="4">
        <f>14/302.8</f>
        <v>0.046235138705416116</v>
      </c>
      <c r="G1234" t="s">
        <v>1</v>
      </c>
      <c r="H1234" s="4">
        <f>5/325.2</f>
        <v>0.015375153751537515</v>
      </c>
    </row>
    <row r="1235" spans="1:8" ht="12" customHeight="1">
      <c r="A1235" t="s">
        <v>6</v>
      </c>
      <c r="B1235" s="4">
        <f>0.2/357.3</f>
        <v>0.000559753708368318</v>
      </c>
      <c r="D1235" t="s">
        <v>1</v>
      </c>
      <c r="E1235" s="4">
        <f>6/302.8</f>
        <v>0.019815059445178335</v>
      </c>
      <c r="G1235" t="s">
        <v>6</v>
      </c>
      <c r="H1235" s="4">
        <f>3.4/325.2</f>
        <v>0.010455104551045511</v>
      </c>
    </row>
    <row r="1236" spans="1:8" ht="13.5" thickBot="1">
      <c r="A1236" t="s">
        <v>24</v>
      </c>
      <c r="B1236" s="3">
        <f>0.1/357.3</f>
        <v>0.000279876854184159</v>
      </c>
      <c r="D1236" t="s">
        <v>2</v>
      </c>
      <c r="E1236" s="4">
        <f>5/302.8</f>
        <v>0.01651254953764861</v>
      </c>
      <c r="G1236" t="s">
        <v>19</v>
      </c>
      <c r="H1236" s="3">
        <f>1.8/325.2</f>
        <v>0.005535055350553506</v>
      </c>
    </row>
    <row r="1237" spans="2:8" ht="13.5" thickBot="1">
      <c r="B1237" s="1">
        <f>SUM(B1232:B1236)</f>
        <v>1</v>
      </c>
      <c r="D1237" t="s">
        <v>6</v>
      </c>
      <c r="E1237" s="3">
        <f>2.8/302.8</f>
        <v>0.009247027741083222</v>
      </c>
      <c r="H1237" s="1">
        <f>SUM(H1232:H1236)</f>
        <v>1</v>
      </c>
    </row>
    <row r="1238" ht="12" customHeight="1">
      <c r="E1238" s="1">
        <f>SUM(E1233:E1237)</f>
        <v>0.9999999999999999</v>
      </c>
    </row>
    <row r="1239" spans="1:8" ht="12.75">
      <c r="A1239" s="22">
        <v>560</v>
      </c>
      <c r="B1239" s="22"/>
      <c r="G1239" s="22">
        <v>576</v>
      </c>
      <c r="H1239" s="22"/>
    </row>
    <row r="1240" spans="1:8" ht="12" customHeight="1">
      <c r="A1240" t="s">
        <v>3</v>
      </c>
      <c r="B1240" s="4">
        <f>275/303</f>
        <v>0.9075907590759076</v>
      </c>
      <c r="D1240" s="22">
        <v>568</v>
      </c>
      <c r="E1240" s="22"/>
      <c r="G1240" t="s">
        <v>3</v>
      </c>
      <c r="H1240" s="4">
        <f>275/337.4</f>
        <v>0.8150563129816243</v>
      </c>
    </row>
    <row r="1241" spans="1:8" ht="12.75">
      <c r="A1241" t="s">
        <v>19</v>
      </c>
      <c r="B1241" s="4">
        <f>14.8/303</f>
        <v>0.04884488448844885</v>
      </c>
      <c r="D1241" t="s">
        <v>3</v>
      </c>
      <c r="E1241" s="4">
        <f>275/315.2</f>
        <v>0.8724619289340102</v>
      </c>
      <c r="G1241" t="s">
        <v>1</v>
      </c>
      <c r="H1241" s="4">
        <f>32/337.4</f>
        <v>0.09484291641967992</v>
      </c>
    </row>
    <row r="1242" spans="1:8" ht="12.75">
      <c r="A1242" t="s">
        <v>2</v>
      </c>
      <c r="B1242" s="4">
        <f>6.6/303</f>
        <v>0.02178217821782178</v>
      </c>
      <c r="D1242" t="s">
        <v>1</v>
      </c>
      <c r="E1242" s="4">
        <f>23/315.2</f>
        <v>0.07296954314720812</v>
      </c>
      <c r="G1242" t="s">
        <v>2</v>
      </c>
      <c r="H1242" s="4">
        <f>25/337.4</f>
        <v>0.07409602845287493</v>
      </c>
    </row>
    <row r="1243" spans="1:8" ht="12.75">
      <c r="A1243" t="s">
        <v>6</v>
      </c>
      <c r="B1243" s="4">
        <f>3.6/303</f>
        <v>0.011881188118811881</v>
      </c>
      <c r="D1243" t="s">
        <v>19</v>
      </c>
      <c r="E1243" s="4">
        <f>13.6/315.2</f>
        <v>0.04314720812182741</v>
      </c>
      <c r="G1243" t="s">
        <v>30</v>
      </c>
      <c r="H1243" s="4">
        <f>3.6/337.4</f>
        <v>0.01066982809721399</v>
      </c>
    </row>
    <row r="1244" spans="1:8" ht="13.5" thickBot="1">
      <c r="A1244" t="s">
        <v>1</v>
      </c>
      <c r="B1244" s="3">
        <f>3/303</f>
        <v>0.009900990099009901</v>
      </c>
      <c r="D1244" t="s">
        <v>2</v>
      </c>
      <c r="E1244" s="4">
        <f>2/315.2</f>
        <v>0.006345177664974619</v>
      </c>
      <c r="G1244" t="s">
        <v>6</v>
      </c>
      <c r="H1244" s="3">
        <f>1.8/337.4</f>
        <v>0.005334914048606995</v>
      </c>
    </row>
    <row r="1245" spans="2:8" ht="12.75" customHeight="1" thickBot="1">
      <c r="B1245" s="1">
        <f>SUM(B1240:B1244)</f>
        <v>1</v>
      </c>
      <c r="D1245" t="s">
        <v>6</v>
      </c>
      <c r="E1245" s="3">
        <f>1.6/315.2</f>
        <v>0.005076142131979696</v>
      </c>
      <c r="H1245" s="1">
        <f>SUM(H1240:H1244)</f>
        <v>1</v>
      </c>
    </row>
    <row r="1246" ht="12.75">
      <c r="E1246" s="1">
        <f>SUM(E1241:E1245)</f>
        <v>1</v>
      </c>
    </row>
    <row r="1247" spans="1:8" ht="12.75" customHeight="1">
      <c r="A1247" s="22">
        <v>561</v>
      </c>
      <c r="B1247" s="22"/>
      <c r="G1247" s="22">
        <v>577</v>
      </c>
      <c r="H1247" s="22"/>
    </row>
    <row r="1248" spans="1:8" ht="12" customHeight="1">
      <c r="A1248" t="s">
        <v>3</v>
      </c>
      <c r="B1248" s="4">
        <f>275/312.4</f>
        <v>0.8802816901408451</v>
      </c>
      <c r="D1248" s="22">
        <v>569</v>
      </c>
      <c r="E1248" s="22"/>
      <c r="G1248" t="s">
        <v>3</v>
      </c>
      <c r="H1248" s="4">
        <f>275/349.8</f>
        <v>0.7861635220125786</v>
      </c>
    </row>
    <row r="1249" spans="1:8" ht="12.75" customHeight="1">
      <c r="A1249" t="s">
        <v>1</v>
      </c>
      <c r="B1249" s="4">
        <f>18/312.4</f>
        <v>0.05761843790012804</v>
      </c>
      <c r="D1249" t="s">
        <v>3</v>
      </c>
      <c r="E1249" s="4">
        <f>275/314.8</f>
        <v>0.8735705209656924</v>
      </c>
      <c r="G1249" t="s">
        <v>1</v>
      </c>
      <c r="H1249" s="4">
        <f>72/349.8</f>
        <v>0.20583190394511147</v>
      </c>
    </row>
    <row r="1250" spans="1:8" ht="12.75">
      <c r="A1250" t="s">
        <v>19</v>
      </c>
      <c r="B1250" s="4">
        <f>14/312.4</f>
        <v>0.04481434058898848</v>
      </c>
      <c r="D1250" t="s">
        <v>1</v>
      </c>
      <c r="E1250" s="4">
        <f>24/314.8</f>
        <v>0.07623888182973317</v>
      </c>
      <c r="G1250" t="s">
        <v>2</v>
      </c>
      <c r="H1250" s="4">
        <f>2/349.8</f>
        <v>0.005717552887364208</v>
      </c>
    </row>
    <row r="1251" spans="1:8" ht="12.75">
      <c r="A1251" t="s">
        <v>6</v>
      </c>
      <c r="B1251" s="4">
        <f>2.8/312.4</f>
        <v>0.008962868117797696</v>
      </c>
      <c r="D1251" t="s">
        <v>19</v>
      </c>
      <c r="E1251" s="4">
        <f>14/314.8</f>
        <v>0.044472681067344345</v>
      </c>
      <c r="G1251" t="s">
        <v>6</v>
      </c>
      <c r="H1251" s="4">
        <f>0.4/349.8</f>
        <v>0.0011435105774728416</v>
      </c>
    </row>
    <row r="1252" spans="1:8" ht="12.75" customHeight="1" thickBot="1">
      <c r="A1252" t="s">
        <v>2</v>
      </c>
      <c r="B1252" s="3">
        <f>2.6/312.4</f>
        <v>0.008322663252240717</v>
      </c>
      <c r="D1252" t="s">
        <v>2</v>
      </c>
      <c r="E1252" s="4">
        <f>1/314.8</f>
        <v>0.0031766200762388818</v>
      </c>
      <c r="G1252" t="s">
        <v>19</v>
      </c>
      <c r="H1252" s="3">
        <f>0.4/349.8</f>
        <v>0.0011435105774728416</v>
      </c>
    </row>
    <row r="1253" spans="2:8" ht="12.75" customHeight="1" thickBot="1">
      <c r="B1253" s="1">
        <f>SUM(B1248:B1252)</f>
        <v>1</v>
      </c>
      <c r="D1253" t="s">
        <v>6</v>
      </c>
      <c r="E1253" s="3">
        <f>0.8/314.8</f>
        <v>0.0025412960609911056</v>
      </c>
      <c r="H1253" s="1">
        <f>SUM(H1248:H1252)</f>
        <v>0.9999999999999999</v>
      </c>
    </row>
    <row r="1254" ht="12.75" customHeight="1">
      <c r="E1254" s="1">
        <f>SUM(E1249:E1253)</f>
        <v>0.9999999999999999</v>
      </c>
    </row>
    <row r="1255" spans="1:8" ht="12.75">
      <c r="A1255" s="22">
        <v>578</v>
      </c>
      <c r="B1255" s="22"/>
      <c r="D1255" s="22">
        <v>586</v>
      </c>
      <c r="E1255" s="22"/>
      <c r="G1255" s="22">
        <v>606</v>
      </c>
      <c r="H1255" s="22"/>
    </row>
    <row r="1256" spans="1:8" ht="12.75">
      <c r="A1256" t="s">
        <v>3</v>
      </c>
      <c r="B1256" s="4">
        <f>275/356.6</f>
        <v>0.7711721817162086</v>
      </c>
      <c r="D1256" t="s">
        <v>3</v>
      </c>
      <c r="E1256" s="4">
        <f>275/347.6</f>
        <v>0.7911392405063291</v>
      </c>
      <c r="G1256" t="s">
        <v>3</v>
      </c>
      <c r="H1256" s="4">
        <f>275/301.5</f>
        <v>0.912106135986733</v>
      </c>
    </row>
    <row r="1257" spans="1:8" ht="12.75">
      <c r="A1257" t="s">
        <v>1</v>
      </c>
      <c r="B1257" s="4">
        <f>80/356.6</f>
        <v>0.2243409983174425</v>
      </c>
      <c r="D1257" t="s">
        <v>1</v>
      </c>
      <c r="E1257" s="4">
        <f>70/347.6</f>
        <v>0.20138089758342922</v>
      </c>
      <c r="G1257" t="s">
        <v>2</v>
      </c>
      <c r="H1257" s="4">
        <f>20/301.5</f>
        <v>0.06633499170812604</v>
      </c>
    </row>
    <row r="1258" spans="1:8" ht="12.75">
      <c r="A1258" t="s">
        <v>2</v>
      </c>
      <c r="B1258" s="4">
        <f>1.2/356.6</f>
        <v>0.0033651149747616375</v>
      </c>
      <c r="D1258" t="s">
        <v>2</v>
      </c>
      <c r="E1258" s="4">
        <f>2/347.6</f>
        <v>0.00575373993095512</v>
      </c>
      <c r="G1258" t="s">
        <v>1</v>
      </c>
      <c r="H1258" s="4">
        <f>6/301.5</f>
        <v>0.01990049751243781</v>
      </c>
    </row>
    <row r="1259" spans="1:8" ht="12.75">
      <c r="A1259" t="s">
        <v>6</v>
      </c>
      <c r="B1259" s="4">
        <f>0.2/356.6</f>
        <v>0.0005608524957936063</v>
      </c>
      <c r="D1259" t="s">
        <v>16</v>
      </c>
      <c r="E1259" s="4">
        <f>0.5/347.6</f>
        <v>0.00143843498273878</v>
      </c>
      <c r="G1259" t="s">
        <v>16</v>
      </c>
      <c r="H1259" s="4">
        <f>0.4/301.5</f>
        <v>0.0013266998341625207</v>
      </c>
    </row>
    <row r="1260" spans="1:8" ht="13.5" thickBot="1">
      <c r="A1260" t="s">
        <v>19</v>
      </c>
      <c r="B1260" s="3">
        <f>0.2/356.6</f>
        <v>0.0005608524957936063</v>
      </c>
      <c r="D1260" t="s">
        <v>19</v>
      </c>
      <c r="E1260" s="3">
        <f>0.1/347.6</f>
        <v>0.00028768699654775604</v>
      </c>
      <c r="G1260" t="s">
        <v>6</v>
      </c>
      <c r="H1260" s="3">
        <f>0.1/301.5</f>
        <v>0.0003316749585406302</v>
      </c>
    </row>
    <row r="1261" spans="2:8" ht="12.75">
      <c r="B1261" s="1">
        <f>SUM(B1256:B1260)</f>
        <v>1</v>
      </c>
      <c r="E1261" s="1">
        <f>SUM(E1256:E1260)</f>
        <v>1</v>
      </c>
      <c r="H1261" s="1">
        <f>SUM(H1256:H1260)</f>
        <v>1</v>
      </c>
    </row>
    <row r="1263" spans="1:8" ht="12.75">
      <c r="A1263" s="22">
        <v>579</v>
      </c>
      <c r="B1263" s="22"/>
      <c r="D1263" s="22">
        <v>587</v>
      </c>
      <c r="E1263" s="22"/>
      <c r="G1263" s="22">
        <v>607</v>
      </c>
      <c r="H1263" s="22"/>
    </row>
    <row r="1264" spans="1:8" ht="12.75">
      <c r="A1264" t="s">
        <v>3</v>
      </c>
      <c r="B1264" s="4">
        <f>275/370.6</f>
        <v>0.7420399352401511</v>
      </c>
      <c r="D1264" t="s">
        <v>3</v>
      </c>
      <c r="E1264" s="4">
        <f>275/356.9</f>
        <v>0.7705239562902775</v>
      </c>
      <c r="G1264" t="s">
        <v>3</v>
      </c>
      <c r="H1264" s="4">
        <f>275/319</f>
        <v>0.8620689655172413</v>
      </c>
    </row>
    <row r="1265" spans="1:8" ht="12" customHeight="1">
      <c r="A1265" t="s">
        <v>1</v>
      </c>
      <c r="B1265" s="4">
        <f>94/370.6</f>
        <v>0.25364274150026983</v>
      </c>
      <c r="D1265" t="s">
        <v>1</v>
      </c>
      <c r="E1265" s="4">
        <f>80/356.9</f>
        <v>0.22415242364808072</v>
      </c>
      <c r="G1265" t="s">
        <v>1</v>
      </c>
      <c r="H1265" s="4">
        <f>40/319</f>
        <v>0.12539184952978055</v>
      </c>
    </row>
    <row r="1266" spans="1:8" ht="12" customHeight="1">
      <c r="A1266" t="s">
        <v>2</v>
      </c>
      <c r="B1266" s="4">
        <f>1.2/370.6</f>
        <v>0.0032379924446842953</v>
      </c>
      <c r="D1266" t="s">
        <v>2</v>
      </c>
      <c r="E1266" s="4">
        <f>1.2/356.9</f>
        <v>0.0033622863547212107</v>
      </c>
      <c r="G1266" t="s">
        <v>5</v>
      </c>
      <c r="H1266" s="4">
        <f>3/319</f>
        <v>0.009404388714733543</v>
      </c>
    </row>
    <row r="1267" spans="1:8" ht="12.75">
      <c r="A1267" t="s">
        <v>19</v>
      </c>
      <c r="B1267" s="4">
        <f>0.2/370.6</f>
        <v>0.0005396654074473826</v>
      </c>
      <c r="D1267" t="s">
        <v>16</v>
      </c>
      <c r="E1267" s="4">
        <f>0.6/356.9</f>
        <v>0.0016811431773606053</v>
      </c>
      <c r="G1267" t="s">
        <v>16</v>
      </c>
      <c r="H1267" s="4">
        <f>0.8/319</f>
        <v>0.0025078369905956114</v>
      </c>
    </row>
    <row r="1268" spans="1:8" ht="11.25" customHeight="1" thickBot="1">
      <c r="A1268" t="s">
        <v>6</v>
      </c>
      <c r="B1268" s="3">
        <f>0.2/370.6</f>
        <v>0.0005396654074473826</v>
      </c>
      <c r="D1268" t="s">
        <v>19</v>
      </c>
      <c r="E1268" s="3">
        <f>0.1/356.9</f>
        <v>0.0002801905295601009</v>
      </c>
      <c r="G1268" t="s">
        <v>10</v>
      </c>
      <c r="H1268" s="3">
        <f>0.2/319</f>
        <v>0.0006269592476489029</v>
      </c>
    </row>
    <row r="1269" spans="2:8" ht="12" customHeight="1">
      <c r="B1269" s="1">
        <f>SUM(B1264:B1268)</f>
        <v>1</v>
      </c>
      <c r="E1269" s="1">
        <f>SUM(E1264:E1268)</f>
        <v>1.0000000000000002</v>
      </c>
      <c r="H1269" s="1">
        <f>SUM(H1264:H1268)</f>
        <v>1</v>
      </c>
    </row>
    <row r="1271" spans="1:8" ht="12.75">
      <c r="A1271" s="22">
        <v>580</v>
      </c>
      <c r="B1271" s="22"/>
      <c r="D1271" s="22">
        <v>600</v>
      </c>
      <c r="E1271" s="22"/>
      <c r="G1271" s="22">
        <v>608</v>
      </c>
      <c r="H1271" s="22"/>
    </row>
    <row r="1272" spans="1:8" ht="12.75">
      <c r="A1272" t="s">
        <v>3</v>
      </c>
      <c r="B1272" s="4">
        <f>275/375.8</f>
        <v>0.7317722192655668</v>
      </c>
      <c r="D1272" t="s">
        <v>3</v>
      </c>
      <c r="E1272" s="4">
        <f>275/322</f>
        <v>0.8540372670807453</v>
      </c>
      <c r="G1272" t="s">
        <v>3</v>
      </c>
      <c r="H1272" s="4">
        <f>275/316.8</f>
        <v>0.8680555555555555</v>
      </c>
    </row>
    <row r="1273" spans="1:8" ht="12.75">
      <c r="A1273" t="s">
        <v>1</v>
      </c>
      <c r="B1273" s="4">
        <f>90/375.8</f>
        <v>0.2394890899414582</v>
      </c>
      <c r="D1273" t="s">
        <v>1</v>
      </c>
      <c r="E1273" s="4">
        <f>40/322</f>
        <v>0.12422360248447205</v>
      </c>
      <c r="G1273" t="s">
        <v>1</v>
      </c>
      <c r="H1273" s="4">
        <f>36/316.8</f>
        <v>0.11363636363636363</v>
      </c>
    </row>
    <row r="1274" spans="1:8" ht="12.75">
      <c r="A1274" t="s">
        <v>5</v>
      </c>
      <c r="B1274" s="4">
        <f>10/375.8</f>
        <v>0.026609898882384245</v>
      </c>
      <c r="D1274" t="s">
        <v>5</v>
      </c>
      <c r="E1274" s="4">
        <f>6/322</f>
        <v>0.018633540372670808</v>
      </c>
      <c r="G1274" t="s">
        <v>5</v>
      </c>
      <c r="H1274" s="4">
        <f>4.8/316.8</f>
        <v>0.01515151515151515</v>
      </c>
    </row>
    <row r="1275" spans="1:8" ht="12.75">
      <c r="A1275" t="s">
        <v>16</v>
      </c>
      <c r="B1275" s="4">
        <f>0.6/375.8</f>
        <v>0.0015965939329430547</v>
      </c>
      <c r="D1275" t="s">
        <v>16</v>
      </c>
      <c r="E1275" s="4">
        <f>0.8/322</f>
        <v>0.002484472049689441</v>
      </c>
      <c r="G1275" t="s">
        <v>16</v>
      </c>
      <c r="H1275" s="4">
        <f>0.8/316.8</f>
        <v>0.0025252525252525255</v>
      </c>
    </row>
    <row r="1276" spans="1:8" ht="13.5" thickBot="1">
      <c r="A1276" t="s">
        <v>6</v>
      </c>
      <c r="B1276" s="3">
        <f>0.2/375.8</f>
        <v>0.0005321979776476849</v>
      </c>
      <c r="D1276" t="s">
        <v>10</v>
      </c>
      <c r="E1276" s="3">
        <f>0.2/322</f>
        <v>0.0006211180124223603</v>
      </c>
      <c r="G1276" t="s">
        <v>10</v>
      </c>
      <c r="H1276" s="3">
        <f>0.2/316.8</f>
        <v>0.0006313131313131314</v>
      </c>
    </row>
    <row r="1277" spans="2:8" ht="12" customHeight="1">
      <c r="B1277" s="1">
        <f>SUM(B1272:B1276)</f>
        <v>1</v>
      </c>
      <c r="E1277" s="1">
        <f>SUM(E1272:E1276)</f>
        <v>1</v>
      </c>
      <c r="H1277" s="1">
        <f>SUM(H1272:H1276)</f>
        <v>0.9999999999999999</v>
      </c>
    </row>
    <row r="1278" ht="11.25" customHeight="1"/>
    <row r="1279" spans="1:8" ht="12.75">
      <c r="A1279" s="22">
        <v>581</v>
      </c>
      <c r="B1279" s="22"/>
      <c r="D1279" s="22">
        <v>601</v>
      </c>
      <c r="E1279" s="22"/>
      <c r="G1279" s="22">
        <v>609</v>
      </c>
      <c r="H1279" s="22"/>
    </row>
    <row r="1280" spans="1:8" ht="12.75">
      <c r="A1280" t="s">
        <v>3</v>
      </c>
      <c r="B1280" s="4">
        <f>275/320.8</f>
        <v>0.8572319201995012</v>
      </c>
      <c r="D1280" t="s">
        <v>3</v>
      </c>
      <c r="E1280" s="4">
        <f>275/362.4</f>
        <v>0.7588300220750552</v>
      </c>
      <c r="G1280" t="s">
        <v>3</v>
      </c>
      <c r="H1280" s="4">
        <f>275/346.5</f>
        <v>0.7936507936507936</v>
      </c>
    </row>
    <row r="1281" spans="1:8" ht="12.75">
      <c r="A1281" t="s">
        <v>2</v>
      </c>
      <c r="B1281" s="4">
        <f>36/320.8</f>
        <v>0.11221945137157106</v>
      </c>
      <c r="D1281" t="s">
        <v>1</v>
      </c>
      <c r="E1281" s="4">
        <f>86/362.4</f>
        <v>0.2373068432671082</v>
      </c>
      <c r="G1281" t="s">
        <v>1</v>
      </c>
      <c r="H1281" s="4">
        <f>70/346.5</f>
        <v>0.20202020202020202</v>
      </c>
    </row>
    <row r="1282" spans="1:8" ht="12.75">
      <c r="A1282" t="s">
        <v>1</v>
      </c>
      <c r="B1282" s="4">
        <f>4/320.8</f>
        <v>0.012468827930174562</v>
      </c>
      <c r="D1282" t="s">
        <v>2</v>
      </c>
      <c r="E1282" s="4">
        <f>1/362.4</f>
        <v>0.0027593818984547464</v>
      </c>
      <c r="G1282" t="s">
        <v>2</v>
      </c>
      <c r="H1282" s="4">
        <f>1.2/346.5</f>
        <v>0.003463203463203463</v>
      </c>
    </row>
    <row r="1283" spans="1:8" ht="12.75">
      <c r="A1283" t="s">
        <v>6</v>
      </c>
      <c r="B1283" s="4">
        <f>3.2/320.8</f>
        <v>0.00997506234413965</v>
      </c>
      <c r="D1283" t="s">
        <v>16</v>
      </c>
      <c r="E1283" s="4">
        <f>0.2/362.4</f>
        <v>0.0005518763796909493</v>
      </c>
      <c r="G1283" t="s">
        <v>16</v>
      </c>
      <c r="H1283" s="4">
        <f>0.2/346.5</f>
        <v>0.0005772005772005772</v>
      </c>
    </row>
    <row r="1284" spans="1:8" ht="13.5" thickBot="1">
      <c r="A1284" t="s">
        <v>7</v>
      </c>
      <c r="B1284" s="3">
        <f>2.6/320.8</f>
        <v>0.008104738154613466</v>
      </c>
      <c r="D1284" t="s">
        <v>10</v>
      </c>
      <c r="E1284" s="3">
        <f>0.2/362.4</f>
        <v>0.0005518763796909493</v>
      </c>
      <c r="G1284" t="s">
        <v>6</v>
      </c>
      <c r="H1284" s="3">
        <f>0.1/346.5</f>
        <v>0.0002886002886002886</v>
      </c>
    </row>
    <row r="1285" spans="2:8" ht="12.75">
      <c r="B1285" s="1">
        <f>SUM(B1280:B1284)</f>
        <v>1</v>
      </c>
      <c r="E1285" s="1">
        <f>SUM(E1280:E1284)</f>
        <v>0.9999999999999999</v>
      </c>
      <c r="H1285" s="1">
        <f>SUM(H1280:H1284)</f>
        <v>1</v>
      </c>
    </row>
    <row r="1287" spans="1:8" ht="12.75">
      <c r="A1287" s="22">
        <v>582</v>
      </c>
      <c r="B1287" s="22"/>
      <c r="D1287" s="22">
        <v>602</v>
      </c>
      <c r="E1287" s="22"/>
      <c r="G1287" s="22">
        <v>610</v>
      </c>
      <c r="H1287" s="22"/>
    </row>
    <row r="1288" spans="1:8" ht="12.75">
      <c r="A1288" t="s">
        <v>3</v>
      </c>
      <c r="B1288" s="4">
        <f>275/312.2</f>
        <v>0.8808456117873159</v>
      </c>
      <c r="D1288" t="s">
        <v>3</v>
      </c>
      <c r="E1288" s="4">
        <f>275/327.2</f>
        <v>0.8404645476772616</v>
      </c>
      <c r="G1288" t="s">
        <v>3</v>
      </c>
      <c r="H1288" s="4">
        <f>275/337.7</f>
        <v>0.8143322475570033</v>
      </c>
    </row>
    <row r="1289" spans="1:8" ht="12.75">
      <c r="A1289" t="s">
        <v>2</v>
      </c>
      <c r="B1289" s="4">
        <f>30.6/312.2</f>
        <v>0.0980140935297886</v>
      </c>
      <c r="D1289" t="s">
        <v>1</v>
      </c>
      <c r="E1289" s="4">
        <f>50/327.2</f>
        <v>0.1528117359413203</v>
      </c>
      <c r="G1289" t="s">
        <v>1</v>
      </c>
      <c r="H1289" s="4">
        <f>60/337.7</f>
        <v>0.17767249037607344</v>
      </c>
    </row>
    <row r="1290" spans="1:8" ht="12" customHeight="1">
      <c r="A1290" t="s">
        <v>1</v>
      </c>
      <c r="B1290" s="4">
        <f>4/312.2</f>
        <v>0.012812299807815503</v>
      </c>
      <c r="D1290" t="s">
        <v>2</v>
      </c>
      <c r="E1290" s="4">
        <f>1.8/327.2</f>
        <v>0.005501222493887531</v>
      </c>
      <c r="G1290" t="s">
        <v>2</v>
      </c>
      <c r="H1290" s="4">
        <f>2.2/337.7</f>
        <v>0.006514657980456027</v>
      </c>
    </row>
    <row r="1291" spans="1:8" ht="12.75">
      <c r="A1291" t="s">
        <v>7</v>
      </c>
      <c r="B1291" s="4">
        <f>1.4/312.2</f>
        <v>0.004484304932735426</v>
      </c>
      <c r="D1291" t="s">
        <v>16</v>
      </c>
      <c r="E1291" s="4">
        <f>0.2/327.2</f>
        <v>0.0006112469437652813</v>
      </c>
      <c r="G1291" t="s">
        <v>16</v>
      </c>
      <c r="H1291" s="4">
        <f>0.4/337.7</f>
        <v>0.001184483269173823</v>
      </c>
    </row>
    <row r="1292" spans="1:8" ht="12" customHeight="1" thickBot="1">
      <c r="A1292" t="s">
        <v>24</v>
      </c>
      <c r="B1292" s="3">
        <f>1.2/312.2</f>
        <v>0.003843689942344651</v>
      </c>
      <c r="D1292" t="s">
        <v>10</v>
      </c>
      <c r="E1292" s="3">
        <f>0.2/327.2</f>
        <v>0.0006112469437652813</v>
      </c>
      <c r="G1292" t="s">
        <v>6</v>
      </c>
      <c r="H1292" s="3">
        <f>0.1/337.7</f>
        <v>0.00029612081729345576</v>
      </c>
    </row>
    <row r="1293" spans="2:8" ht="12.75">
      <c r="B1293" s="1">
        <f>SUM(B1288:B1292)</f>
        <v>1.0000000000000002</v>
      </c>
      <c r="E1293" s="1">
        <f>SUM(E1288:E1292)</f>
        <v>1</v>
      </c>
      <c r="H1293" s="1">
        <f>SUM(H1288:H1292)</f>
        <v>1</v>
      </c>
    </row>
    <row r="1295" spans="1:8" ht="12.75">
      <c r="A1295" s="22">
        <v>583</v>
      </c>
      <c r="B1295" s="22"/>
      <c r="D1295" s="22">
        <v>603</v>
      </c>
      <c r="E1295" s="22"/>
      <c r="G1295" s="22">
        <v>611</v>
      </c>
      <c r="H1295" s="22"/>
    </row>
    <row r="1296" spans="1:8" ht="12.75">
      <c r="A1296" t="s">
        <v>3</v>
      </c>
      <c r="B1296" s="4">
        <f>275/330.8</f>
        <v>0.8313180169286578</v>
      </c>
      <c r="D1296" t="s">
        <v>3</v>
      </c>
      <c r="E1296" s="4">
        <f>275/309</f>
        <v>0.889967637540453</v>
      </c>
      <c r="G1296" t="s">
        <v>3</v>
      </c>
      <c r="H1296" s="4">
        <f>275/377.3</f>
        <v>0.7288629737609329</v>
      </c>
    </row>
    <row r="1297" spans="1:8" ht="12.75">
      <c r="A1297" t="s">
        <v>1</v>
      </c>
      <c r="B1297" s="4">
        <f>30.8/330.8</f>
        <v>0.09310761789600967</v>
      </c>
      <c r="D1297" t="s">
        <v>1</v>
      </c>
      <c r="E1297" s="4">
        <f>30/309</f>
        <v>0.0970873786407767</v>
      </c>
      <c r="G1297" t="s">
        <v>1</v>
      </c>
      <c r="H1297" s="4">
        <f>90/377.3</f>
        <v>0.23853697323085077</v>
      </c>
    </row>
    <row r="1298" spans="1:8" ht="12.75">
      <c r="A1298" t="s">
        <v>2</v>
      </c>
      <c r="B1298" s="4">
        <f>24/330.8</f>
        <v>0.07255139056831922</v>
      </c>
      <c r="D1298" t="s">
        <v>2</v>
      </c>
      <c r="E1298" s="4">
        <f>3.4/309</f>
        <v>0.011003236245954692</v>
      </c>
      <c r="G1298" t="s">
        <v>2</v>
      </c>
      <c r="H1298" s="4">
        <f>12/377.3</f>
        <v>0.031804929764113435</v>
      </c>
    </row>
    <row r="1299" spans="1:8" ht="12.75">
      <c r="A1299" t="s">
        <v>24</v>
      </c>
      <c r="B1299" s="4">
        <f>0.8/330.8</f>
        <v>0.0024183796856106408</v>
      </c>
      <c r="D1299" t="s">
        <v>10</v>
      </c>
      <c r="E1299" s="4">
        <f>0.4/309</f>
        <v>0.0012944983818770227</v>
      </c>
      <c r="G1299" t="s">
        <v>6</v>
      </c>
      <c r="H1299" s="4">
        <f>0.2/377.3</f>
        <v>0.0005300821627352239</v>
      </c>
    </row>
    <row r="1300" spans="1:8" ht="13.5" thickBot="1">
      <c r="A1300" t="s">
        <v>74</v>
      </c>
      <c r="B1300" s="3">
        <f>0.2/330.8</f>
        <v>0.0006045949214026602</v>
      </c>
      <c r="D1300" t="s">
        <v>16</v>
      </c>
      <c r="E1300" s="3">
        <f>0.2/309</f>
        <v>0.0006472491909385113</v>
      </c>
      <c r="G1300" s="7" t="s">
        <v>7</v>
      </c>
      <c r="H1300" s="3">
        <f>0.1/377.3</f>
        <v>0.00026504108136761196</v>
      </c>
    </row>
    <row r="1301" spans="2:8" ht="12.75">
      <c r="B1301" s="1">
        <f>SUM(B1296:B1300)</f>
        <v>0.9999999999999999</v>
      </c>
      <c r="E1301" s="1">
        <f>SUM(E1296:E1300)</f>
        <v>0.9999999999999999</v>
      </c>
      <c r="H1301" s="1">
        <f>SUM(H1296:H1300)</f>
        <v>0.9999999999999999</v>
      </c>
    </row>
    <row r="1302" spans="1:8" ht="12.75">
      <c r="A1302" s="22">
        <v>584</v>
      </c>
      <c r="B1302" s="22"/>
      <c r="D1302" s="22">
        <v>604</v>
      </c>
      <c r="E1302" s="22"/>
      <c r="G1302" s="22">
        <v>612</v>
      </c>
      <c r="H1302" s="22"/>
    </row>
    <row r="1303" spans="1:8" ht="12.75">
      <c r="A1303" t="s">
        <v>3</v>
      </c>
      <c r="B1303" s="4">
        <f>275/340.6</f>
        <v>0.8073987081620669</v>
      </c>
      <c r="D1303" t="s">
        <v>3</v>
      </c>
      <c r="E1303" s="4">
        <f>275/306.3</f>
        <v>0.8978126020241592</v>
      </c>
      <c r="G1303" t="s">
        <v>3</v>
      </c>
      <c r="H1303" s="4">
        <f>275/324.8</f>
        <v>0.8466748768472906</v>
      </c>
    </row>
    <row r="1304" spans="1:8" ht="12.75">
      <c r="A1304" t="s">
        <v>1</v>
      </c>
      <c r="B1304" s="4">
        <f>43/340.6</f>
        <v>0.12624779800352318</v>
      </c>
      <c r="D1304" t="s">
        <v>1</v>
      </c>
      <c r="E1304" s="4">
        <f>30/306.3</f>
        <v>0.0979431929480901</v>
      </c>
      <c r="G1304" t="s">
        <v>2</v>
      </c>
      <c r="H1304" s="4">
        <f>26.4/324.8</f>
        <v>0.0812807881773399</v>
      </c>
    </row>
    <row r="1305" spans="1:8" ht="12.75">
      <c r="A1305" t="s">
        <v>2</v>
      </c>
      <c r="B1305" s="4">
        <f>20/340.6</f>
        <v>0.05871990604815032</v>
      </c>
      <c r="D1305" t="s">
        <v>2</v>
      </c>
      <c r="E1305" s="4">
        <f>1.2/306.3</f>
        <v>0.0039177277179236044</v>
      </c>
      <c r="G1305" t="s">
        <v>1</v>
      </c>
      <c r="H1305" s="4">
        <f>23/324.8</f>
        <v>0.0708128078817734</v>
      </c>
    </row>
    <row r="1306" spans="1:8" ht="13.5" thickBot="1">
      <c r="A1306" t="s">
        <v>75</v>
      </c>
      <c r="B1306" s="4">
        <f>2.4/340.6</f>
        <v>0.007046388725778038</v>
      </c>
      <c r="D1306" t="s">
        <v>6</v>
      </c>
      <c r="E1306" s="3">
        <f>0.1/306.3</f>
        <v>0.000326477309826967</v>
      </c>
      <c r="G1306" t="s">
        <v>6</v>
      </c>
      <c r="H1306" s="4">
        <f>0.3/324.8</f>
        <v>0.0009236453201970443</v>
      </c>
    </row>
    <row r="1307" spans="1:8" ht="13.5" thickBot="1">
      <c r="A1307" t="s">
        <v>16</v>
      </c>
      <c r="B1307" s="3">
        <f>0.2/340.6</f>
        <v>0.0005871990604815032</v>
      </c>
      <c r="E1307" s="1">
        <f>SUM(E1303:E1306)</f>
        <v>0.9999999999999999</v>
      </c>
      <c r="G1307" t="s">
        <v>7</v>
      </c>
      <c r="H1307" s="3">
        <f>0.1/324.8</f>
        <v>0.0003078817733990148</v>
      </c>
    </row>
    <row r="1308" spans="2:8" ht="12.75">
      <c r="B1308" s="1">
        <f>SUM(B1303:B1307)</f>
        <v>1</v>
      </c>
      <c r="H1308" s="1">
        <f>SUM(H1303:H1307)</f>
        <v>0.9999999999999999</v>
      </c>
    </row>
    <row r="1309" spans="4:5" ht="12.75">
      <c r="D1309" s="22">
        <v>605</v>
      </c>
      <c r="E1309" s="22"/>
    </row>
    <row r="1310" spans="1:8" ht="12.75">
      <c r="A1310" s="22">
        <v>585</v>
      </c>
      <c r="B1310" s="22"/>
      <c r="D1310" t="s">
        <v>3</v>
      </c>
      <c r="E1310" s="4">
        <f>275/309.1</f>
        <v>0.889679715302491</v>
      </c>
      <c r="G1310" s="22">
        <v>613</v>
      </c>
      <c r="H1310" s="22"/>
    </row>
    <row r="1311" spans="1:8" ht="12.75">
      <c r="A1311" t="s">
        <v>3</v>
      </c>
      <c r="B1311" s="4">
        <f>275/343.6</f>
        <v>0.80034924330617</v>
      </c>
      <c r="D1311" t="s">
        <v>2</v>
      </c>
      <c r="E1311" s="4">
        <f>20/309.1</f>
        <v>0.06470397929472663</v>
      </c>
      <c r="G1311" t="s">
        <v>3</v>
      </c>
      <c r="H1311" s="4">
        <f>275/332</f>
        <v>0.8283132530120482</v>
      </c>
    </row>
    <row r="1312" spans="1:8" ht="12.75">
      <c r="A1312" t="s">
        <v>1</v>
      </c>
      <c r="B1312" s="4">
        <f>64/343.6</f>
        <v>0.18626309662398136</v>
      </c>
      <c r="D1312" t="s">
        <v>1</v>
      </c>
      <c r="E1312" s="4">
        <f>14/309.1</f>
        <v>0.045292785506308636</v>
      </c>
      <c r="G1312" t="s">
        <v>2</v>
      </c>
      <c r="H1312" s="4">
        <f>40/332</f>
        <v>0.12048192771084337</v>
      </c>
    </row>
    <row r="1313" spans="1:8" ht="12.75" customHeight="1" thickBot="1">
      <c r="A1313" t="s">
        <v>2</v>
      </c>
      <c r="B1313" s="4">
        <f>3.6/343.6</f>
        <v>0.010477299185098952</v>
      </c>
      <c r="D1313" t="s">
        <v>6</v>
      </c>
      <c r="E1313" s="3">
        <f>0.1/309.1</f>
        <v>0.0003235198964736331</v>
      </c>
      <c r="G1313" t="s">
        <v>1</v>
      </c>
      <c r="H1313" s="4">
        <f>16/332</f>
        <v>0.04819277108433735</v>
      </c>
    </row>
    <row r="1314" spans="1:8" ht="13.5" customHeight="1">
      <c r="A1314" t="s">
        <v>6</v>
      </c>
      <c r="B1314" s="4">
        <f>0.8/343.6</f>
        <v>0.002328288707799767</v>
      </c>
      <c r="E1314" s="1">
        <f>SUM(E1310:E1313)</f>
        <v>0.9999999999999999</v>
      </c>
      <c r="G1314" t="s">
        <v>6</v>
      </c>
      <c r="H1314" s="4">
        <f>0.6/332</f>
        <v>0.0018072289156626504</v>
      </c>
    </row>
    <row r="1315" spans="1:8" ht="12.75" customHeight="1" thickBot="1">
      <c r="A1315" t="s">
        <v>19</v>
      </c>
      <c r="B1315" s="3">
        <f>0.2/343.6</f>
        <v>0.0005820721769499418</v>
      </c>
      <c r="G1315" t="s">
        <v>7</v>
      </c>
      <c r="H1315" s="3">
        <f>0.4/332</f>
        <v>0.0012048192771084338</v>
      </c>
    </row>
    <row r="1316" spans="2:8" ht="11.25" customHeight="1">
      <c r="B1316" s="1">
        <f>SUM(B1311:B1315)</f>
        <v>1</v>
      </c>
      <c r="H1316" s="1">
        <f>SUM(H1311:H1315)</f>
        <v>1</v>
      </c>
    </row>
    <row r="1317" spans="2:8" ht="11.25" customHeight="1">
      <c r="B1317" s="1"/>
      <c r="H1317" s="1"/>
    </row>
    <row r="1318" spans="1:8" ht="12.75">
      <c r="A1318" s="22">
        <v>614</v>
      </c>
      <c r="B1318" s="22"/>
      <c r="D1318" s="22">
        <v>622</v>
      </c>
      <c r="E1318" s="22"/>
      <c r="G1318" s="22">
        <v>630</v>
      </c>
      <c r="H1318" s="22"/>
    </row>
    <row r="1319" spans="1:8" ht="12.75">
      <c r="A1319" t="s">
        <v>3</v>
      </c>
      <c r="B1319" s="4">
        <f>275/364.3</f>
        <v>0.7548723579467471</v>
      </c>
      <c r="D1319" t="s">
        <v>3</v>
      </c>
      <c r="E1319" s="4">
        <f>275/369.5</f>
        <v>0.7442489851150202</v>
      </c>
      <c r="G1319" t="s">
        <v>3</v>
      </c>
      <c r="H1319" s="4">
        <f>275/366.4</f>
        <v>0.7505458515283844</v>
      </c>
    </row>
    <row r="1320" spans="1:8" ht="12.75">
      <c r="A1320" t="s">
        <v>1</v>
      </c>
      <c r="B1320" s="4">
        <f>80/364.3</f>
        <v>0.21959923140269008</v>
      </c>
      <c r="D1320" t="s">
        <v>1</v>
      </c>
      <c r="E1320" s="4">
        <f>90/369.5</f>
        <v>0.2435723951285521</v>
      </c>
      <c r="G1320" t="s">
        <v>1</v>
      </c>
      <c r="H1320" s="4">
        <f>90/366.4</f>
        <v>0.24563318777292578</v>
      </c>
    </row>
    <row r="1321" spans="1:8" ht="12.75">
      <c r="A1321" t="s">
        <v>5</v>
      </c>
      <c r="B1321" s="4">
        <f>8/364.3</f>
        <v>0.021959923140269007</v>
      </c>
      <c r="D1321" t="s">
        <v>5</v>
      </c>
      <c r="E1321" s="4">
        <f>4/369.5</f>
        <v>0.010825439783491205</v>
      </c>
      <c r="G1321" t="s">
        <v>24</v>
      </c>
      <c r="H1321" s="4">
        <f>0.9/366.4</f>
        <v>0.0024563318777292577</v>
      </c>
    </row>
    <row r="1322" spans="1:8" ht="12.75">
      <c r="A1322" t="s">
        <v>16</v>
      </c>
      <c r="B1322" s="4">
        <f>1.2/364.3</f>
        <v>0.003293988471040351</v>
      </c>
      <c r="D1322" t="s">
        <v>6</v>
      </c>
      <c r="E1322" s="4">
        <f>0.3/369.5</f>
        <v>0.0008119079837618403</v>
      </c>
      <c r="G1322" t="s">
        <v>19</v>
      </c>
      <c r="H1322" s="4">
        <f>0.4/366.4</f>
        <v>0.0010917030567685591</v>
      </c>
    </row>
    <row r="1323" spans="1:8" ht="13.5" thickBot="1">
      <c r="A1323" t="s">
        <v>6</v>
      </c>
      <c r="B1323" s="3">
        <f>0.1/364.3</f>
        <v>0.0002744990392533626</v>
      </c>
      <c r="D1323" t="s">
        <v>19</v>
      </c>
      <c r="E1323" s="3">
        <f>0.2/369.5</f>
        <v>0.0005412719891745603</v>
      </c>
      <c r="G1323" t="s">
        <v>6</v>
      </c>
      <c r="H1323" s="3">
        <f>0.1/366.4</f>
        <v>0.0002729257641921398</v>
      </c>
    </row>
    <row r="1324" spans="2:8" ht="12.75">
      <c r="B1324" s="1">
        <f>SUM(B1319:B1323)</f>
        <v>0.9999999999999999</v>
      </c>
      <c r="E1324" s="1">
        <f>SUM(E1319:E1323)</f>
        <v>0.9999999999999999</v>
      </c>
      <c r="H1324" s="1">
        <f>SUM(H1319:H1323)</f>
        <v>1.0000000000000002</v>
      </c>
    </row>
    <row r="1326" spans="1:8" ht="12.75">
      <c r="A1326" s="22">
        <v>615</v>
      </c>
      <c r="B1326" s="22"/>
      <c r="D1326" s="22">
        <v>623</v>
      </c>
      <c r="E1326" s="22"/>
      <c r="G1326" s="22">
        <v>631</v>
      </c>
      <c r="H1326" s="22"/>
    </row>
    <row r="1327" spans="1:8" ht="12.75">
      <c r="A1327" t="s">
        <v>3</v>
      </c>
      <c r="B1327" s="4">
        <f>275/373.4</f>
        <v>0.7364756293519015</v>
      </c>
      <c r="D1327" t="s">
        <v>3</v>
      </c>
      <c r="E1327" s="4">
        <f>275/372.6</f>
        <v>0.7380568974771873</v>
      </c>
      <c r="G1327" t="s">
        <v>3</v>
      </c>
      <c r="H1327" s="4">
        <f>275/352.5</f>
        <v>0.7801418439716312</v>
      </c>
    </row>
    <row r="1328" spans="1:8" ht="12.75">
      <c r="A1328" t="s">
        <v>1</v>
      </c>
      <c r="B1328" s="4">
        <f>86/373.4</f>
        <v>0.23031601499732193</v>
      </c>
      <c r="D1328" t="s">
        <v>1</v>
      </c>
      <c r="E1328" s="4">
        <f>90/372.6</f>
        <v>0.24154589371980675</v>
      </c>
      <c r="G1328" t="s">
        <v>1</v>
      </c>
      <c r="H1328" s="4">
        <f>74/352.5</f>
        <v>0.2099290780141844</v>
      </c>
    </row>
    <row r="1329" spans="1:8" ht="12.75">
      <c r="A1329" t="s">
        <v>5</v>
      </c>
      <c r="B1329" s="4">
        <f>12/373.4</f>
        <v>0.032137118371719335</v>
      </c>
      <c r="D1329" t="s">
        <v>5</v>
      </c>
      <c r="E1329" s="4">
        <f>6.6/372.6</f>
        <v>0.017713365539452495</v>
      </c>
      <c r="G1329" t="s">
        <v>24</v>
      </c>
      <c r="H1329" s="4">
        <f>2.6/352.5</f>
        <v>0.007375886524822696</v>
      </c>
    </row>
    <row r="1330" spans="1:8" ht="12.75">
      <c r="A1330" t="s">
        <v>7</v>
      </c>
      <c r="B1330" s="4">
        <f>0.3/373.4</f>
        <v>0.0008034279592929834</v>
      </c>
      <c r="D1330" t="s">
        <v>6</v>
      </c>
      <c r="E1330" s="4">
        <f>0.6/372.6</f>
        <v>0.0016103059581320449</v>
      </c>
      <c r="G1330" t="s">
        <v>19</v>
      </c>
      <c r="H1330" s="4">
        <f>0.8/352.5</f>
        <v>0.0022695035460992908</v>
      </c>
    </row>
    <row r="1331" spans="1:8" ht="13.5" thickBot="1">
      <c r="A1331" t="s">
        <v>6</v>
      </c>
      <c r="B1331" s="3">
        <f>0.1/373.4</f>
        <v>0.00026780931976432785</v>
      </c>
      <c r="D1331" t="s">
        <v>19</v>
      </c>
      <c r="E1331" s="3">
        <f>0.4/372.6</f>
        <v>0.0010735373054213634</v>
      </c>
      <c r="G1331" t="s">
        <v>6</v>
      </c>
      <c r="H1331" s="3">
        <f>0.1/352.5</f>
        <v>0.00028368794326241134</v>
      </c>
    </row>
    <row r="1332" spans="2:8" ht="12.75">
      <c r="B1332" s="1">
        <f>SUM(B1327:B1331)</f>
        <v>1</v>
      </c>
      <c r="E1332" s="1">
        <f>SUM(E1327:E1331)</f>
        <v>0.9999999999999999</v>
      </c>
      <c r="H1332" s="1">
        <f>SUM(H1327:H1331)</f>
        <v>1</v>
      </c>
    </row>
    <row r="1334" spans="1:8" ht="12.75">
      <c r="A1334" s="22">
        <v>616</v>
      </c>
      <c r="B1334" s="22"/>
      <c r="D1334" s="22">
        <v>624</v>
      </c>
      <c r="E1334" s="22"/>
      <c r="G1334" s="22">
        <v>632</v>
      </c>
      <c r="H1334" s="22"/>
    </row>
    <row r="1335" spans="1:8" ht="12.75">
      <c r="A1335" t="s">
        <v>3</v>
      </c>
      <c r="B1335" s="4">
        <f>275/366.7</f>
        <v>0.7499318243796019</v>
      </c>
      <c r="D1335" t="s">
        <v>3</v>
      </c>
      <c r="E1335" s="4">
        <f>275/359.4</f>
        <v>0.765164162493044</v>
      </c>
      <c r="G1335" t="s">
        <v>3</v>
      </c>
      <c r="H1335" s="4">
        <f>275/358.4</f>
        <v>0.7672991071428572</v>
      </c>
    </row>
    <row r="1336" spans="1:8" ht="12.75">
      <c r="A1336" t="s">
        <v>1</v>
      </c>
      <c r="B1336" s="4">
        <f>90/366.7</f>
        <v>0.24543223343332424</v>
      </c>
      <c r="D1336" t="s">
        <v>1</v>
      </c>
      <c r="E1336" s="4">
        <f>80/359.4</f>
        <v>0.22259321090706735</v>
      </c>
      <c r="G1336" t="s">
        <v>1</v>
      </c>
      <c r="H1336" s="4">
        <f>72/358.4</f>
        <v>0.20089285714285715</v>
      </c>
    </row>
    <row r="1337" spans="1:8" ht="12.75">
      <c r="A1337" t="s">
        <v>2</v>
      </c>
      <c r="B1337" s="4">
        <f>1.4/366.7</f>
        <v>0.0038178347422961546</v>
      </c>
      <c r="D1337" t="s">
        <v>19</v>
      </c>
      <c r="E1337" s="4">
        <f>2/359.4</f>
        <v>0.005564830272676684</v>
      </c>
      <c r="G1337" t="s">
        <v>24</v>
      </c>
      <c r="H1337" s="4">
        <f>8.6/358.4</f>
        <v>0.023995535714285716</v>
      </c>
    </row>
    <row r="1338" spans="1:8" ht="12.75">
      <c r="A1338" t="s">
        <v>6</v>
      </c>
      <c r="B1338" s="4">
        <f>0.2/366.7</f>
        <v>0.0005454049631851651</v>
      </c>
      <c r="D1338" t="s">
        <v>6</v>
      </c>
      <c r="E1338" s="4">
        <f>1.4/359.4</f>
        <v>0.0038953811908736783</v>
      </c>
      <c r="G1338" t="s">
        <v>19</v>
      </c>
      <c r="H1338" s="4">
        <f>2.6/358.4</f>
        <v>0.007254464285714287</v>
      </c>
    </row>
    <row r="1339" spans="1:8" ht="13.5" thickBot="1">
      <c r="A1339" t="s">
        <v>7</v>
      </c>
      <c r="B1339" s="3">
        <f>0.1/366.7</f>
        <v>0.00027270248159258254</v>
      </c>
      <c r="D1339" t="s">
        <v>2</v>
      </c>
      <c r="E1339" s="3">
        <f>1/359.4</f>
        <v>0.002782415136338342</v>
      </c>
      <c r="G1339" t="s">
        <v>5</v>
      </c>
      <c r="H1339" s="3">
        <f>0.2/358.4</f>
        <v>0.0005580357142857144</v>
      </c>
    </row>
    <row r="1340" spans="2:8" ht="12.75">
      <c r="B1340" s="1">
        <f>SUM(B1335:B1339)</f>
        <v>1</v>
      </c>
      <c r="E1340" s="1">
        <f>SUM(E1335:E1339)</f>
        <v>1</v>
      </c>
      <c r="H1340" s="1">
        <f>SUM(H1335:H1339)</f>
        <v>1.0000000000000002</v>
      </c>
    </row>
    <row r="1342" spans="1:8" ht="12.75">
      <c r="A1342" s="22">
        <v>617</v>
      </c>
      <c r="B1342" s="22"/>
      <c r="D1342" s="22">
        <v>625</v>
      </c>
      <c r="E1342" s="22"/>
      <c r="G1342" s="22">
        <v>633</v>
      </c>
      <c r="H1342" s="22"/>
    </row>
    <row r="1343" spans="1:8" ht="12.75">
      <c r="A1343" t="s">
        <v>3</v>
      </c>
      <c r="B1343" s="4">
        <f>275/368.4</f>
        <v>0.746471226927253</v>
      </c>
      <c r="D1343" t="s">
        <v>3</v>
      </c>
      <c r="E1343" s="4">
        <f>275/333</f>
        <v>0.8258258258258259</v>
      </c>
      <c r="G1343" t="s">
        <v>3</v>
      </c>
      <c r="H1343" s="4">
        <f>275/343.41</f>
        <v>0.800792056142803</v>
      </c>
    </row>
    <row r="1344" spans="1:8" ht="12.75">
      <c r="A1344" t="s">
        <v>1</v>
      </c>
      <c r="B1344" s="4">
        <f>90/368.4</f>
        <v>0.244299674267101</v>
      </c>
      <c r="D1344" t="s">
        <v>1</v>
      </c>
      <c r="E1344" s="4">
        <f>50/333</f>
        <v>0.15015015015015015</v>
      </c>
      <c r="G1344" t="s">
        <v>10</v>
      </c>
      <c r="H1344" s="4">
        <f>40/343.41</f>
        <v>0.11647884452986225</v>
      </c>
    </row>
    <row r="1345" spans="1:8" ht="12.75">
      <c r="A1345" t="s">
        <v>2</v>
      </c>
      <c r="B1345" s="4">
        <f>2.8/368.4</f>
        <v>0.00760043431053203</v>
      </c>
      <c r="D1345" t="s">
        <v>19</v>
      </c>
      <c r="E1345" s="4">
        <f>4.4/333</f>
        <v>0.013213213213213214</v>
      </c>
      <c r="G1345" t="s">
        <v>1</v>
      </c>
      <c r="H1345" s="4">
        <f>16/343.41</f>
        <v>0.0465915378119449</v>
      </c>
    </row>
    <row r="1346" spans="1:8" ht="12.75">
      <c r="A1346" t="s">
        <v>6</v>
      </c>
      <c r="B1346" s="4">
        <f>0.4/368.4</f>
        <v>0.0010857763300760044</v>
      </c>
      <c r="D1346" t="s">
        <v>6</v>
      </c>
      <c r="E1346" s="4">
        <f>2/333</f>
        <v>0.006006006006006006</v>
      </c>
      <c r="G1346" t="s">
        <v>24</v>
      </c>
      <c r="H1346" s="4">
        <f>8/343.41</f>
        <v>0.02329576890597245</v>
      </c>
    </row>
    <row r="1347" spans="1:8" ht="13.5" thickBot="1">
      <c r="A1347" t="s">
        <v>7</v>
      </c>
      <c r="B1347" s="3">
        <f>0.2/368.4</f>
        <v>0.0005428881650380022</v>
      </c>
      <c r="D1347" t="s">
        <v>2</v>
      </c>
      <c r="E1347" s="3">
        <f>1.6/333</f>
        <v>0.0048048048048048055</v>
      </c>
      <c r="G1347" t="s">
        <v>19</v>
      </c>
      <c r="H1347" s="3">
        <f>4.41/343.41</f>
        <v>0.012841792609417315</v>
      </c>
    </row>
    <row r="1348" spans="2:8" ht="12.75">
      <c r="B1348" s="1">
        <f>SUM(B1343:B1347)</f>
        <v>1</v>
      </c>
      <c r="E1348" s="1">
        <f>SUM(E1343:E1347)</f>
        <v>1</v>
      </c>
      <c r="H1348" s="1">
        <f>SUM(H1343:H1347)</f>
        <v>0.9999999999999999</v>
      </c>
    </row>
    <row r="1350" spans="1:8" ht="12.75">
      <c r="A1350" s="22">
        <v>618</v>
      </c>
      <c r="B1350" s="22"/>
      <c r="D1350" s="22">
        <v>626</v>
      </c>
      <c r="E1350" s="22"/>
      <c r="G1350" s="22">
        <v>634</v>
      </c>
      <c r="H1350" s="22"/>
    </row>
    <row r="1351" spans="1:8" ht="12.75">
      <c r="A1351" t="s">
        <v>3</v>
      </c>
      <c r="B1351" s="4">
        <f>275/365.2</f>
        <v>0.7530120481927711</v>
      </c>
      <c r="D1351" t="s">
        <v>3</v>
      </c>
      <c r="E1351" s="4">
        <f>275/305</f>
        <v>0.9016393442622951</v>
      </c>
      <c r="G1351" t="s">
        <v>3</v>
      </c>
      <c r="H1351" s="4">
        <f>275/320.8</f>
        <v>0.8572319201995012</v>
      </c>
    </row>
    <row r="1352" spans="1:8" ht="12.75">
      <c r="A1352" t="s">
        <v>1</v>
      </c>
      <c r="B1352" s="4">
        <f>82/365.2</f>
        <v>0.2245345016429354</v>
      </c>
      <c r="D1352" t="s">
        <v>19</v>
      </c>
      <c r="E1352" s="4">
        <f>15/305</f>
        <v>0.04918032786885246</v>
      </c>
      <c r="G1352" t="s">
        <v>10</v>
      </c>
      <c r="H1352" s="4">
        <f>39/320.8</f>
        <v>0.12157107231920199</v>
      </c>
    </row>
    <row r="1353" spans="1:8" ht="12.75">
      <c r="A1353" t="s">
        <v>2</v>
      </c>
      <c r="B1353" s="4">
        <f>7/365.2</f>
        <v>0.019167579408543266</v>
      </c>
      <c r="D1353" t="s">
        <v>1</v>
      </c>
      <c r="E1353" s="4">
        <f>8/305</f>
        <v>0.02622950819672131</v>
      </c>
      <c r="G1353" t="s">
        <v>24</v>
      </c>
      <c r="H1353" s="4">
        <f>2.8/320.8</f>
        <v>0.008728179551122194</v>
      </c>
    </row>
    <row r="1354" spans="1:8" ht="12.75">
      <c r="A1354" t="s">
        <v>6</v>
      </c>
      <c r="B1354" s="4">
        <f>0.9/365.2</f>
        <v>0.0024644030668127055</v>
      </c>
      <c r="D1354" t="s">
        <v>2</v>
      </c>
      <c r="E1354" s="4">
        <f>4/305</f>
        <v>0.013114754098360656</v>
      </c>
      <c r="G1354" t="s">
        <v>1</v>
      </c>
      <c r="H1354" s="4">
        <f>2/320.8</f>
        <v>0.006234413965087281</v>
      </c>
    </row>
    <row r="1355" spans="1:8" ht="13.5" thickBot="1">
      <c r="A1355" t="s">
        <v>7</v>
      </c>
      <c r="B1355" s="3">
        <f>0.3/365.2</f>
        <v>0.0008214676889375684</v>
      </c>
      <c r="D1355" t="s">
        <v>6</v>
      </c>
      <c r="E1355" s="3">
        <f>3/305</f>
        <v>0.009836065573770493</v>
      </c>
      <c r="G1355" t="s">
        <v>19</v>
      </c>
      <c r="H1355" s="3">
        <f>2/320.8</f>
        <v>0.006234413965087281</v>
      </c>
    </row>
    <row r="1356" spans="2:8" ht="12.75">
      <c r="B1356" s="1">
        <f>SUM(B1351:B1355)</f>
        <v>1.0000000000000002</v>
      </c>
      <c r="E1356" s="1">
        <f>SUM(E1351:E1355)</f>
        <v>0.9999999999999999</v>
      </c>
      <c r="H1356" s="1">
        <f>SUM(H1351:H1355)</f>
        <v>0.9999999999999999</v>
      </c>
    </row>
    <row r="1358" spans="1:8" ht="12.75">
      <c r="A1358" s="22">
        <v>619</v>
      </c>
      <c r="B1358" s="22"/>
      <c r="D1358" s="22">
        <v>627</v>
      </c>
      <c r="E1358" s="22"/>
      <c r="G1358" s="22">
        <v>635</v>
      </c>
      <c r="H1358" s="22"/>
    </row>
    <row r="1359" spans="1:8" ht="12.75">
      <c r="A1359" t="s">
        <v>3</v>
      </c>
      <c r="B1359" s="4">
        <f>275/347.6</f>
        <v>0.7911392405063291</v>
      </c>
      <c r="D1359" t="s">
        <v>3</v>
      </c>
      <c r="E1359" s="4">
        <f>275/299.8</f>
        <v>0.9172781854569713</v>
      </c>
      <c r="G1359" t="s">
        <v>3</v>
      </c>
      <c r="H1359" s="4">
        <f>275/356.1</f>
        <v>0.7722549845549003</v>
      </c>
    </row>
    <row r="1360" spans="1:8" ht="12.75">
      <c r="A1360" t="s">
        <v>1</v>
      </c>
      <c r="B1360" s="4">
        <f>48/347.6</f>
        <v>0.1380897583429229</v>
      </c>
      <c r="D1360" t="s">
        <v>19</v>
      </c>
      <c r="E1360" s="4">
        <f>18/299.8</f>
        <v>0.0600400266844563</v>
      </c>
      <c r="G1360" t="s">
        <v>1</v>
      </c>
      <c r="H1360" s="4">
        <f>80/356.1</f>
        <v>0.22465599550688006</v>
      </c>
    </row>
    <row r="1361" spans="1:8" ht="12.75">
      <c r="A1361" t="s">
        <v>2</v>
      </c>
      <c r="B1361" s="4">
        <f>22/347.6</f>
        <v>0.06329113924050632</v>
      </c>
      <c r="D1361" t="s">
        <v>6</v>
      </c>
      <c r="E1361" s="4">
        <f>2.8/299.8</f>
        <v>0.00933955970647098</v>
      </c>
      <c r="G1361" t="s">
        <v>5</v>
      </c>
      <c r="H1361" s="4">
        <f>0.6/356.1</f>
        <v>0.0016849199663016006</v>
      </c>
    </row>
    <row r="1362" spans="1:8" ht="12.75">
      <c r="A1362" t="s">
        <v>6</v>
      </c>
      <c r="B1362" s="4">
        <f>2/347.6</f>
        <v>0.00575373993095512</v>
      </c>
      <c r="D1362" t="s">
        <v>1</v>
      </c>
      <c r="E1362" s="4">
        <f>2/299.8</f>
        <v>0.0066711140760507</v>
      </c>
      <c r="G1362" t="s">
        <v>24</v>
      </c>
      <c r="H1362" s="4">
        <f>0.3/356.1</f>
        <v>0.0008424599831508003</v>
      </c>
    </row>
    <row r="1363" spans="1:8" ht="13.5" thickBot="1">
      <c r="A1363" t="s">
        <v>7</v>
      </c>
      <c r="B1363" s="3">
        <f>0.6/347.6</f>
        <v>0.0017261219792865361</v>
      </c>
      <c r="D1363" t="s">
        <v>2</v>
      </c>
      <c r="E1363" s="3">
        <f>2/299.8</f>
        <v>0.0066711140760507</v>
      </c>
      <c r="G1363" t="s">
        <v>16</v>
      </c>
      <c r="H1363" s="3">
        <f>0.2/356.1</f>
        <v>0.0005616399887672002</v>
      </c>
    </row>
    <row r="1364" spans="2:8" ht="12.75">
      <c r="B1364" s="1">
        <f>SUM(B1359:B1363)</f>
        <v>1</v>
      </c>
      <c r="E1364" s="1">
        <f>SUM(E1359:E1363)</f>
        <v>0.9999999999999999</v>
      </c>
      <c r="H1364" s="1">
        <f>SUM(H1359:H1363)</f>
        <v>1</v>
      </c>
    </row>
    <row r="1366" spans="1:8" ht="12.75">
      <c r="A1366" s="22">
        <v>620</v>
      </c>
      <c r="B1366" s="22"/>
      <c r="D1366" s="22">
        <v>628</v>
      </c>
      <c r="E1366" s="22"/>
      <c r="G1366" s="22">
        <v>636</v>
      </c>
      <c r="H1366" s="22"/>
    </row>
    <row r="1367" spans="1:8" ht="12.75">
      <c r="A1367" t="s">
        <v>3</v>
      </c>
      <c r="B1367" s="4">
        <f>275/325.4</f>
        <v>0.8451137062077444</v>
      </c>
      <c r="D1367" t="s">
        <v>3</v>
      </c>
      <c r="E1367" s="4">
        <f>275/328.2</f>
        <v>0.837903717245582</v>
      </c>
      <c r="G1367" t="s">
        <v>3</v>
      </c>
      <c r="H1367" s="4">
        <f>275/366.1</f>
        <v>0.7511608850040972</v>
      </c>
    </row>
    <row r="1368" spans="1:8" ht="12.75">
      <c r="A1368" t="s">
        <v>2</v>
      </c>
      <c r="B1368" s="4">
        <f>35.6/325.4</f>
        <v>0.10940381069452983</v>
      </c>
      <c r="D1368" t="s">
        <v>1</v>
      </c>
      <c r="E1368" s="4">
        <f>50/328.2</f>
        <v>0.15234613040828762</v>
      </c>
      <c r="G1368" t="s">
        <v>1</v>
      </c>
      <c r="H1368" s="4">
        <f>90/366.1</f>
        <v>0.24583447145588636</v>
      </c>
    </row>
    <row r="1369" spans="1:8" ht="12.75">
      <c r="A1369" t="s">
        <v>1</v>
      </c>
      <c r="B1369" s="4">
        <f>12/325.4</f>
        <v>0.03687768899815612</v>
      </c>
      <c r="D1369" t="s">
        <v>75</v>
      </c>
      <c r="E1369" s="4">
        <f>1.6/328.2</f>
        <v>0.004875076173065204</v>
      </c>
      <c r="G1369" t="s">
        <v>24</v>
      </c>
      <c r="H1369" s="4">
        <f>0.8/366.1</f>
        <v>0.002185195301830101</v>
      </c>
    </row>
    <row r="1370" spans="1:8" ht="12" customHeight="1" thickBot="1">
      <c r="A1370" t="s">
        <v>6</v>
      </c>
      <c r="B1370" s="4">
        <f>1.6/325.4</f>
        <v>0.004917025199754149</v>
      </c>
      <c r="D1370" t="s">
        <v>31</v>
      </c>
      <c r="E1370" s="4">
        <f>1.4/328.2</f>
        <v>0.0042656916514320535</v>
      </c>
      <c r="G1370" t="s">
        <v>19</v>
      </c>
      <c r="H1370" s="3">
        <f>0.3/366.1</f>
        <v>0.0008194482381862878</v>
      </c>
    </row>
    <row r="1371" spans="1:8" ht="12" customHeight="1" thickBot="1">
      <c r="A1371" t="s">
        <v>7</v>
      </c>
      <c r="B1371" s="3">
        <f>1.2/325.4</f>
        <v>0.0036877688998156115</v>
      </c>
      <c r="D1371" t="s">
        <v>16</v>
      </c>
      <c r="E1371" s="3">
        <f>0.2/328.2</f>
        <v>0.0006093845216331506</v>
      </c>
      <c r="H1371" s="1">
        <f>SUM(H1367:H1370)</f>
        <v>0.9999999999999999</v>
      </c>
    </row>
    <row r="1372" spans="2:5" ht="12.75">
      <c r="B1372" s="1">
        <f>SUM(B1367:B1371)</f>
        <v>1.0000000000000002</v>
      </c>
      <c r="E1372" s="1">
        <f>SUM(E1367:E1371)</f>
        <v>1</v>
      </c>
    </row>
    <row r="1373" spans="7:8" ht="12" customHeight="1">
      <c r="G1373" s="22">
        <v>637</v>
      </c>
      <c r="H1373" s="22"/>
    </row>
    <row r="1374" spans="1:8" ht="12.75">
      <c r="A1374" s="22">
        <v>621</v>
      </c>
      <c r="B1374" s="22"/>
      <c r="D1374" s="22">
        <v>629</v>
      </c>
      <c r="E1374" s="22"/>
      <c r="G1374" t="s">
        <v>3</v>
      </c>
      <c r="H1374" s="4">
        <f>275/366.3</f>
        <v>0.7507507507507507</v>
      </c>
    </row>
    <row r="1375" spans="1:8" ht="12" customHeight="1">
      <c r="A1375" t="s">
        <v>3</v>
      </c>
      <c r="B1375" s="4">
        <f>275/353.6</f>
        <v>0.7777149321266967</v>
      </c>
      <c r="D1375" t="s">
        <v>3</v>
      </c>
      <c r="E1375" s="4">
        <f>275/355.7</f>
        <v>0.7731234186111893</v>
      </c>
      <c r="G1375" t="s">
        <v>1</v>
      </c>
      <c r="H1375" s="4">
        <f>88/366.3</f>
        <v>0.24024024024024024</v>
      </c>
    </row>
    <row r="1376" spans="1:8" ht="12.75">
      <c r="A1376" t="s">
        <v>1</v>
      </c>
      <c r="B1376" s="4">
        <f>77/353.6</f>
        <v>0.2177601809954751</v>
      </c>
      <c r="D1376" t="s">
        <v>1</v>
      </c>
      <c r="E1376" s="4">
        <f>80/355.7</f>
        <v>0.2249086308687096</v>
      </c>
      <c r="G1376" t="s">
        <v>24</v>
      </c>
      <c r="H1376" s="4">
        <f>2.5/366.3</f>
        <v>0.006825006825006825</v>
      </c>
    </row>
    <row r="1377" spans="1:8" ht="12.75">
      <c r="A1377" t="s">
        <v>5</v>
      </c>
      <c r="B1377" s="4">
        <f>1.2/353.6</f>
        <v>0.0033936651583710404</v>
      </c>
      <c r="D1377" t="s">
        <v>19</v>
      </c>
      <c r="E1377" s="4">
        <f>0.3/355.7</f>
        <v>0.0008434073657576609</v>
      </c>
      <c r="G1377" t="s">
        <v>19</v>
      </c>
      <c r="H1377" s="4">
        <f>0.6/366.3</f>
        <v>0.0016380016380016379</v>
      </c>
    </row>
    <row r="1378" spans="1:8" ht="13.5" thickBot="1">
      <c r="A1378" t="s">
        <v>24</v>
      </c>
      <c r="B1378" s="4">
        <f>0.2/353.6</f>
        <v>0.0005656108597285067</v>
      </c>
      <c r="D1378" t="s">
        <v>24</v>
      </c>
      <c r="E1378" s="4">
        <f>0.3/355.7</f>
        <v>0.0008434073657576609</v>
      </c>
      <c r="G1378" t="s">
        <v>5</v>
      </c>
      <c r="H1378" s="3">
        <f>0.2/366.3</f>
        <v>0.000546000546000546</v>
      </c>
    </row>
    <row r="1379" spans="1:8" ht="12" customHeight="1" thickBot="1">
      <c r="A1379" t="s">
        <v>7</v>
      </c>
      <c r="B1379" s="3">
        <f>0.2/353.6</f>
        <v>0.0005656108597285067</v>
      </c>
      <c r="D1379" t="s">
        <v>6</v>
      </c>
      <c r="E1379" s="3">
        <f>0.1/355.7</f>
        <v>0.00028113578858588703</v>
      </c>
      <c r="H1379" s="1">
        <f>SUM(H1374:H1378)</f>
        <v>1</v>
      </c>
    </row>
    <row r="1380" spans="2:5" ht="12" customHeight="1">
      <c r="B1380" s="1">
        <f>SUM(B1375:B1379)</f>
        <v>0.9999999999999999</v>
      </c>
      <c r="E1380" s="1">
        <f>SUM(E1375:E1379)</f>
        <v>1</v>
      </c>
    </row>
    <row r="1381" spans="1:8" ht="12.75">
      <c r="A1381" s="22">
        <v>638</v>
      </c>
      <c r="B1381" s="22"/>
      <c r="D1381" s="22">
        <v>646</v>
      </c>
      <c r="E1381" s="22"/>
      <c r="G1381" s="22">
        <v>654</v>
      </c>
      <c r="H1381" s="22"/>
    </row>
    <row r="1382" spans="1:8" ht="12.75">
      <c r="A1382" t="s">
        <v>3</v>
      </c>
      <c r="B1382" s="4">
        <f>275/358.6</f>
        <v>0.7668711656441717</v>
      </c>
      <c r="D1382" t="s">
        <v>3</v>
      </c>
      <c r="E1382" s="4">
        <f>275/336</f>
        <v>0.8184523809523809</v>
      </c>
      <c r="G1382" t="s">
        <v>3</v>
      </c>
      <c r="H1382" s="4">
        <f>275/313.2</f>
        <v>0.8780332056194126</v>
      </c>
    </row>
    <row r="1383" spans="1:8" ht="12.75">
      <c r="A1383" t="s">
        <v>10</v>
      </c>
      <c r="B1383" s="4">
        <f>40/358.6</f>
        <v>0.11154489682097044</v>
      </c>
      <c r="D1383" t="s">
        <v>1</v>
      </c>
      <c r="E1383" s="4">
        <f>34/336</f>
        <v>0.10119047619047619</v>
      </c>
      <c r="G1383" t="s">
        <v>24</v>
      </c>
      <c r="H1383" s="4">
        <f>32/313.2</f>
        <v>0.10217113665389528</v>
      </c>
    </row>
    <row r="1384" spans="1:8" ht="12.75">
      <c r="A1384" t="s">
        <v>1</v>
      </c>
      <c r="B1384" s="4">
        <f>40/358.6</f>
        <v>0.11154489682097044</v>
      </c>
      <c r="D1384" t="s">
        <v>75</v>
      </c>
      <c r="E1384" s="4">
        <f>26/336</f>
        <v>0.07738095238095238</v>
      </c>
      <c r="G1384" t="s">
        <v>1</v>
      </c>
      <c r="H1384" s="4">
        <f>4/313.2</f>
        <v>0.01277139208173691</v>
      </c>
    </row>
    <row r="1385" spans="1:8" ht="13.5" thickBot="1">
      <c r="A1385" t="s">
        <v>5</v>
      </c>
      <c r="B1385" s="4">
        <f>2/358.6</f>
        <v>0.005577244841048522</v>
      </c>
      <c r="D1385" t="s">
        <v>6</v>
      </c>
      <c r="E1385" s="3">
        <f>1/336</f>
        <v>0.002976190476190476</v>
      </c>
      <c r="G1385" t="s">
        <v>74</v>
      </c>
      <c r="H1385" s="4">
        <f>2/313.2</f>
        <v>0.006385696040868455</v>
      </c>
    </row>
    <row r="1386" spans="1:8" ht="13.5" thickBot="1">
      <c r="A1386" t="s">
        <v>24</v>
      </c>
      <c r="B1386" s="3">
        <f>1.6/358.6</f>
        <v>0.004461795872838818</v>
      </c>
      <c r="E1386" s="4">
        <f>SUM(E1382:E1385)</f>
        <v>1</v>
      </c>
      <c r="G1386" t="s">
        <v>6</v>
      </c>
      <c r="H1386" s="3">
        <f>0.2/313.2</f>
        <v>0.0006385696040868455</v>
      </c>
    </row>
    <row r="1387" spans="2:8" ht="12.75">
      <c r="B1387" s="1">
        <f>SUM(B1382:B1386)</f>
        <v>0.9999999999999999</v>
      </c>
      <c r="H1387" s="1">
        <f>SUM(H1382:H1386)</f>
        <v>1.0000000000000002</v>
      </c>
    </row>
    <row r="1388" spans="4:5" ht="12.75">
      <c r="D1388" s="22">
        <v>647</v>
      </c>
      <c r="E1388" s="22"/>
    </row>
    <row r="1389" spans="1:8" ht="12.75">
      <c r="A1389" s="22">
        <v>639</v>
      </c>
      <c r="B1389" s="22"/>
      <c r="D1389" t="s">
        <v>3</v>
      </c>
      <c r="E1389" s="4">
        <f>275/343.2</f>
        <v>0.8012820512820513</v>
      </c>
      <c r="G1389" s="22">
        <v>655</v>
      </c>
      <c r="H1389" s="22"/>
    </row>
    <row r="1390" spans="1:8" ht="12.75">
      <c r="A1390" t="s">
        <v>3</v>
      </c>
      <c r="B1390" s="4">
        <f>275/311.6</f>
        <v>0.8825417201540435</v>
      </c>
      <c r="D1390" t="s">
        <v>75</v>
      </c>
      <c r="E1390" s="4">
        <f>49/343.2</f>
        <v>0.14277389277389277</v>
      </c>
      <c r="G1390" t="s">
        <v>3</v>
      </c>
      <c r="H1390" s="4">
        <f>275/326.2</f>
        <v>0.8430410790925813</v>
      </c>
    </row>
    <row r="1391" spans="1:8" ht="12.75">
      <c r="A1391" t="s">
        <v>10</v>
      </c>
      <c r="B1391" s="4">
        <f>30/311.6</f>
        <v>0.0962772785622593</v>
      </c>
      <c r="D1391" t="s">
        <v>1</v>
      </c>
      <c r="E1391" s="4">
        <f>13/343.2</f>
        <v>0.03787878787878788</v>
      </c>
      <c r="G1391" t="s">
        <v>24</v>
      </c>
      <c r="H1391" s="4">
        <f>38/326.2</f>
        <v>0.11649294911097487</v>
      </c>
    </row>
    <row r="1392" spans="1:8" ht="12.75">
      <c r="A1392" t="s">
        <v>1</v>
      </c>
      <c r="B1392" s="4">
        <f>6/311.6</f>
        <v>0.01925545571245186</v>
      </c>
      <c r="D1392" t="s">
        <v>24</v>
      </c>
      <c r="E1392" s="4">
        <f>4.6/343.2</f>
        <v>0.013403263403263402</v>
      </c>
      <c r="G1392" t="s">
        <v>18</v>
      </c>
      <c r="H1392" s="4">
        <f>8/326.2</f>
        <v>0.024524831391784182</v>
      </c>
    </row>
    <row r="1393" spans="1:8" ht="13.5" thickBot="1">
      <c r="A1393" t="s">
        <v>5</v>
      </c>
      <c r="B1393" s="3">
        <f>0.6/311.6</f>
        <v>0.001925545571245186</v>
      </c>
      <c r="D1393" t="s">
        <v>6</v>
      </c>
      <c r="E1393" s="3">
        <f>1.6/343.2</f>
        <v>0.004662004662004662</v>
      </c>
      <c r="G1393" t="s">
        <v>29</v>
      </c>
      <c r="H1393" s="4">
        <f>4/326.2</f>
        <v>0.012262415695892091</v>
      </c>
    </row>
    <row r="1394" spans="2:8" ht="13.5" thickBot="1">
      <c r="B1394" s="1">
        <f>SUM(B1390:B1393)</f>
        <v>0.9999999999999999</v>
      </c>
      <c r="E1394" s="1">
        <f>SUM(E1389:E1393)</f>
        <v>0.9999999999999999</v>
      </c>
      <c r="G1394" t="s">
        <v>6</v>
      </c>
      <c r="H1394" s="3">
        <f>1.2/326.2</f>
        <v>0.003678724708767627</v>
      </c>
    </row>
    <row r="1395" ht="12.75">
      <c r="H1395" s="1">
        <f>SUM(H1390:H1394)</f>
        <v>1</v>
      </c>
    </row>
    <row r="1396" spans="1:5" ht="12.75">
      <c r="A1396" s="22">
        <v>640</v>
      </c>
      <c r="B1396" s="22"/>
      <c r="D1396" s="22">
        <v>648</v>
      </c>
      <c r="E1396" s="22"/>
    </row>
    <row r="1397" spans="1:8" ht="12.75">
      <c r="A1397" t="s">
        <v>3</v>
      </c>
      <c r="B1397" s="4">
        <f>275/319.4</f>
        <v>0.8609893550407014</v>
      </c>
      <c r="D1397" t="s">
        <v>3</v>
      </c>
      <c r="E1397" s="4">
        <f>275/341.1</f>
        <v>0.8062151861624156</v>
      </c>
      <c r="G1397" s="22">
        <v>656</v>
      </c>
      <c r="H1397" s="22"/>
    </row>
    <row r="1398" spans="1:8" ht="12.75">
      <c r="A1398" t="s">
        <v>10</v>
      </c>
      <c r="B1398" s="4">
        <f>40/319.4</f>
        <v>0.12523481527864747</v>
      </c>
      <c r="D1398" t="s">
        <v>75</v>
      </c>
      <c r="E1398" s="4">
        <f>62/341.1</f>
        <v>0.18176487833479918</v>
      </c>
      <c r="G1398" t="s">
        <v>3</v>
      </c>
      <c r="H1398" s="4">
        <f>275/356.5</f>
        <v>0.7713884992987378</v>
      </c>
    </row>
    <row r="1399" spans="1:8" ht="12.75">
      <c r="A1399" t="s">
        <v>1</v>
      </c>
      <c r="B1399" s="4">
        <f>3/319.4</f>
        <v>0.009392611145898561</v>
      </c>
      <c r="D1399" t="s">
        <v>1</v>
      </c>
      <c r="E1399" s="4">
        <f>2/341.1</f>
        <v>0.005863383172090296</v>
      </c>
      <c r="G1399" t="s">
        <v>29</v>
      </c>
      <c r="H1399" s="4">
        <f>80/356.5</f>
        <v>0.2244039270687237</v>
      </c>
    </row>
    <row r="1400" spans="1:8" ht="12.75">
      <c r="A1400" t="s">
        <v>5</v>
      </c>
      <c r="B1400" s="4">
        <f>0.8/319.4</f>
        <v>0.0025046963055729496</v>
      </c>
      <c r="D1400" t="s">
        <v>19</v>
      </c>
      <c r="E1400" s="4">
        <f>1.3/341.1</f>
        <v>0.003811199061858692</v>
      </c>
      <c r="G1400" t="s">
        <v>75</v>
      </c>
      <c r="H1400" s="4">
        <f>1.2/356.5</f>
        <v>0.0033660589060308553</v>
      </c>
    </row>
    <row r="1401" spans="1:8" ht="13.5" thickBot="1">
      <c r="A1401" t="s">
        <v>24</v>
      </c>
      <c r="B1401" s="3">
        <f>0.6/319.4</f>
        <v>0.001878522229179712</v>
      </c>
      <c r="D1401" t="s">
        <v>6</v>
      </c>
      <c r="E1401" s="3">
        <f>0.8/341.1</f>
        <v>0.0023453532688361184</v>
      </c>
      <c r="G1401" t="s">
        <v>16</v>
      </c>
      <c r="H1401" s="4">
        <f>0.2/356.5</f>
        <v>0.0005610098176718093</v>
      </c>
    </row>
    <row r="1402" spans="2:8" ht="13.5" thickBot="1">
      <c r="B1402" s="1">
        <f>SUM(B1397:B1401)</f>
        <v>1</v>
      </c>
      <c r="E1402" s="1">
        <f>SUM(E1397:E1401)</f>
        <v>0.9999999999999999</v>
      </c>
      <c r="G1402" t="s">
        <v>6</v>
      </c>
      <c r="H1402" s="3">
        <f>0.1/356.5</f>
        <v>0.00028050490883590464</v>
      </c>
    </row>
    <row r="1403" ht="12.75">
      <c r="H1403" s="1">
        <f>SUM(H1398:H1402)</f>
        <v>1</v>
      </c>
    </row>
    <row r="1404" spans="1:5" ht="12.75">
      <c r="A1404" s="22">
        <v>641</v>
      </c>
      <c r="B1404" s="22"/>
      <c r="D1404" s="22">
        <v>649</v>
      </c>
      <c r="E1404" s="22"/>
    </row>
    <row r="1405" spans="1:8" ht="12.75">
      <c r="A1405" t="s">
        <v>3</v>
      </c>
      <c r="B1405" s="4">
        <f>275/320.1</f>
        <v>0.8591065292096219</v>
      </c>
      <c r="D1405" t="s">
        <v>3</v>
      </c>
      <c r="E1405" s="4">
        <f>275/376.5</f>
        <v>0.7304116865869854</v>
      </c>
      <c r="G1405" s="22">
        <v>657</v>
      </c>
      <c r="H1405" s="22"/>
    </row>
    <row r="1406" spans="1:8" ht="12.75">
      <c r="A1406" t="s">
        <v>10</v>
      </c>
      <c r="B1406" s="4">
        <f>38/320.1</f>
        <v>0.11871290221805685</v>
      </c>
      <c r="D1406" t="s">
        <v>1</v>
      </c>
      <c r="E1406" s="4">
        <f>100/376.5</f>
        <v>0.2656042496679947</v>
      </c>
      <c r="G1406" t="s">
        <v>3</v>
      </c>
      <c r="H1406" s="4">
        <f>275/368.3</f>
        <v>0.7466739071409177</v>
      </c>
    </row>
    <row r="1407" spans="1:8" ht="12.75">
      <c r="A1407" t="s">
        <v>1</v>
      </c>
      <c r="B1407" s="4">
        <f>4/320.1</f>
        <v>0.012496094970321774</v>
      </c>
      <c r="D1407" t="s">
        <v>75</v>
      </c>
      <c r="E1407" s="4">
        <f>1.2/376.5</f>
        <v>0.003187250996015936</v>
      </c>
      <c r="G1407" t="s">
        <v>29</v>
      </c>
      <c r="H1407" s="4">
        <f>90/368.3</f>
        <v>0.24436600597339125</v>
      </c>
    </row>
    <row r="1408" spans="1:8" ht="12.75">
      <c r="A1408" t="s">
        <v>24</v>
      </c>
      <c r="B1408" s="4">
        <f>2.6/320.1</f>
        <v>0.008122461730709154</v>
      </c>
      <c r="D1408" t="s">
        <v>16</v>
      </c>
      <c r="E1408" s="4">
        <f>0.2/376.5</f>
        <v>0.0005312084993359894</v>
      </c>
      <c r="G1408" t="s">
        <v>75</v>
      </c>
      <c r="H1408" s="4">
        <f>2.8/368.3</f>
        <v>0.007602497963616616</v>
      </c>
    </row>
    <row r="1409" spans="1:8" ht="13.5" thickBot="1">
      <c r="A1409" t="s">
        <v>5</v>
      </c>
      <c r="B1409" s="3">
        <f>0.5/320.1</f>
        <v>0.0015620118712902217</v>
      </c>
      <c r="D1409" t="s">
        <v>6</v>
      </c>
      <c r="E1409" s="3">
        <f>0.1/376.5</f>
        <v>0.0002656042496679947</v>
      </c>
      <c r="G1409" t="s">
        <v>16</v>
      </c>
      <c r="H1409" s="4">
        <f>0.4/368.3</f>
        <v>0.0010860711376595167</v>
      </c>
    </row>
    <row r="1410" spans="2:8" ht="13.5" thickBot="1">
      <c r="B1410" s="1">
        <f>SUM(B1405:B1409)</f>
        <v>1</v>
      </c>
      <c r="E1410" s="1">
        <f>SUM(E1405:E1409)</f>
        <v>1</v>
      </c>
      <c r="G1410" t="s">
        <v>6</v>
      </c>
      <c r="H1410" s="3">
        <f>0.1/368.3</f>
        <v>0.00027151778441487917</v>
      </c>
    </row>
    <row r="1411" ht="12.75">
      <c r="H1411" s="1">
        <f>SUM(H1406:H1410)</f>
        <v>1</v>
      </c>
    </row>
    <row r="1412" spans="1:5" ht="12.75">
      <c r="A1412" s="22">
        <v>642</v>
      </c>
      <c r="B1412" s="22"/>
      <c r="D1412" s="22">
        <v>650</v>
      </c>
      <c r="E1412" s="22"/>
    </row>
    <row r="1413" spans="1:8" ht="12.75">
      <c r="A1413" t="s">
        <v>3</v>
      </c>
      <c r="B1413" s="4">
        <f>275/353.3</f>
        <v>0.7783753184262666</v>
      </c>
      <c r="D1413" t="s">
        <v>3</v>
      </c>
      <c r="E1413" s="4">
        <f>275/378.3</f>
        <v>0.7269362939466032</v>
      </c>
      <c r="G1413" s="22">
        <v>658</v>
      </c>
      <c r="H1413" s="22"/>
    </row>
    <row r="1414" spans="1:8" ht="12.75">
      <c r="A1414" t="s">
        <v>1</v>
      </c>
      <c r="B1414" s="4">
        <f>77/353.3</f>
        <v>0.21794508915935465</v>
      </c>
      <c r="D1414" t="s">
        <v>1</v>
      </c>
      <c r="E1414" s="4">
        <f>100/378.3</f>
        <v>0.26434047052603754</v>
      </c>
      <c r="G1414" t="s">
        <v>3</v>
      </c>
      <c r="H1414" s="4">
        <f>275/366.8</f>
        <v>0.7497273718647764</v>
      </c>
    </row>
    <row r="1415" spans="1:8" ht="12.75">
      <c r="A1415" t="s">
        <v>75</v>
      </c>
      <c r="B1415" s="4">
        <f>1.2/353.3</f>
        <v>0.0033965468440418905</v>
      </c>
      <c r="D1415" t="s">
        <v>75</v>
      </c>
      <c r="E1415" s="4">
        <f>2.8/378.3</f>
        <v>0.007401533174729051</v>
      </c>
      <c r="G1415" t="s">
        <v>29</v>
      </c>
      <c r="H1415" s="4">
        <f>80/366.8</f>
        <v>0.21810250817884405</v>
      </c>
    </row>
    <row r="1416" spans="1:8" ht="13.5" thickBot="1">
      <c r="A1416" t="s">
        <v>6</v>
      </c>
      <c r="B1416" s="3">
        <f>0.1/353.3</f>
        <v>0.00028304557033682426</v>
      </c>
      <c r="D1416" t="s">
        <v>16</v>
      </c>
      <c r="E1416" s="4">
        <f>0.4/378.3</f>
        <v>0.00105736188210415</v>
      </c>
      <c r="G1416" t="s">
        <v>75</v>
      </c>
      <c r="H1416" s="4">
        <f>10.6/366.8</f>
        <v>0.028898582333696837</v>
      </c>
    </row>
    <row r="1417" spans="2:8" ht="13.5" thickBot="1">
      <c r="B1417" s="1">
        <f>SUM(B1413:B1416)</f>
        <v>1</v>
      </c>
      <c r="D1417" t="s">
        <v>6</v>
      </c>
      <c r="E1417" s="3">
        <f>0.1/378.3</f>
        <v>0.0002643404705260375</v>
      </c>
      <c r="G1417" t="s">
        <v>16</v>
      </c>
      <c r="H1417" s="4">
        <f>1/366.8</f>
        <v>0.0027262813522355507</v>
      </c>
    </row>
    <row r="1418" spans="5:8" ht="13.5" thickBot="1">
      <c r="E1418" s="1">
        <f>SUM(E1413:E1417)</f>
        <v>1</v>
      </c>
      <c r="G1418" t="s">
        <v>6</v>
      </c>
      <c r="H1418" s="3">
        <f>0.2/366.8</f>
        <v>0.0005452562704471102</v>
      </c>
    </row>
    <row r="1419" spans="1:8" ht="12.75">
      <c r="A1419" s="22">
        <v>643</v>
      </c>
      <c r="B1419" s="22"/>
      <c r="H1419" s="1">
        <f>SUM(H1414:H1418)</f>
        <v>0.9999999999999999</v>
      </c>
    </row>
    <row r="1420" spans="1:5" ht="12.75">
      <c r="A1420" t="s">
        <v>3</v>
      </c>
      <c r="B1420" s="4">
        <f>275/352.9</f>
        <v>0.779257580051006</v>
      </c>
      <c r="D1420" s="22">
        <v>651</v>
      </c>
      <c r="E1420" s="22"/>
    </row>
    <row r="1421" spans="1:8" ht="12.75">
      <c r="A1421" t="s">
        <v>1</v>
      </c>
      <c r="B1421" s="4">
        <f>76/352.9</f>
        <v>0.21535845848682347</v>
      </c>
      <c r="D1421" t="s">
        <v>3</v>
      </c>
      <c r="E1421" s="4">
        <f>275/332.2</f>
        <v>0.8278145695364238</v>
      </c>
      <c r="G1421" s="22">
        <v>659</v>
      </c>
      <c r="H1421" s="22"/>
    </row>
    <row r="1422" spans="1:8" ht="12.75">
      <c r="A1422" t="s">
        <v>75</v>
      </c>
      <c r="B1422" s="4">
        <f>1.8/352.9</f>
        <v>0.005100595069424767</v>
      </c>
      <c r="D1422" t="s">
        <v>1</v>
      </c>
      <c r="E1422" s="4">
        <f>50/332.2</f>
        <v>0.15051173991571343</v>
      </c>
      <c r="G1422" t="s">
        <v>3</v>
      </c>
      <c r="H1422" s="4">
        <f>275/359</f>
        <v>0.766016713091922</v>
      </c>
    </row>
    <row r="1423" spans="1:8" ht="13.5" thickBot="1">
      <c r="A1423" t="s">
        <v>6</v>
      </c>
      <c r="B1423" s="3">
        <f>0.1/352.9</f>
        <v>0.00028336639274582036</v>
      </c>
      <c r="D1423" t="s">
        <v>75</v>
      </c>
      <c r="E1423" s="4">
        <f>6.2/332.2</f>
        <v>0.018663455749548467</v>
      </c>
      <c r="G1423" t="s">
        <v>29</v>
      </c>
      <c r="H1423" s="4">
        <f>50/359</f>
        <v>0.1392757660167131</v>
      </c>
    </row>
    <row r="1424" spans="2:8" ht="12.75">
      <c r="B1424" s="1">
        <f>SUM(B1420:B1423)</f>
        <v>1</v>
      </c>
      <c r="D1424" t="s">
        <v>16</v>
      </c>
      <c r="E1424" s="4">
        <f>0.8/332.2</f>
        <v>0.0024081878386514152</v>
      </c>
      <c r="G1424" t="s">
        <v>75</v>
      </c>
      <c r="H1424" s="4">
        <f>32/359</f>
        <v>0.08913649025069638</v>
      </c>
    </row>
    <row r="1425" spans="4:8" ht="13.5" thickBot="1">
      <c r="D1425" t="s">
        <v>6</v>
      </c>
      <c r="E1425" s="3">
        <f>0.2/332.2</f>
        <v>0.0006020469596628538</v>
      </c>
      <c r="G1425" t="s">
        <v>16</v>
      </c>
      <c r="H1425" s="4">
        <f>1.8/359</f>
        <v>0.005013927576601671</v>
      </c>
    </row>
    <row r="1426" spans="1:8" ht="13.5" thickBot="1">
      <c r="A1426" s="22">
        <v>644</v>
      </c>
      <c r="B1426" s="22"/>
      <c r="E1426" s="1">
        <f>SUM(E1421:E1425)</f>
        <v>0.9999999999999999</v>
      </c>
      <c r="G1426" t="s">
        <v>6</v>
      </c>
      <c r="H1426" s="3">
        <f>0.2/359</f>
        <v>0.0005571030640668524</v>
      </c>
    </row>
    <row r="1427" spans="1:8" ht="12.75">
      <c r="A1427" t="s">
        <v>3</v>
      </c>
      <c r="B1427" s="4">
        <f>275/368</f>
        <v>0.7472826086956522</v>
      </c>
      <c r="H1427" s="1">
        <f>SUM(H1422:H1426)</f>
        <v>1</v>
      </c>
    </row>
    <row r="1428" spans="1:5" ht="12.75">
      <c r="A1428" t="s">
        <v>1</v>
      </c>
      <c r="B1428" s="4">
        <f>82/368</f>
        <v>0.22282608695652173</v>
      </c>
      <c r="D1428" s="22">
        <v>652</v>
      </c>
      <c r="E1428" s="22"/>
    </row>
    <row r="1429" spans="1:8" ht="12.75">
      <c r="A1429" t="s">
        <v>75</v>
      </c>
      <c r="B1429" s="4">
        <f>10.6/368</f>
        <v>0.028804347826086957</v>
      </c>
      <c r="D1429" t="s">
        <v>3</v>
      </c>
      <c r="E1429" s="4">
        <f>275/366.8</f>
        <v>0.7497273718647764</v>
      </c>
      <c r="G1429" s="22">
        <v>660</v>
      </c>
      <c r="H1429" s="22"/>
    </row>
    <row r="1430" spans="1:8" ht="13.5" thickBot="1">
      <c r="A1430" t="s">
        <v>6</v>
      </c>
      <c r="B1430" s="3">
        <f>0.4/368</f>
        <v>0.0010869565217391304</v>
      </c>
      <c r="D1430" t="s">
        <v>1</v>
      </c>
      <c r="E1430" s="4">
        <f>60/366.8</f>
        <v>0.16357688113413305</v>
      </c>
      <c r="G1430" t="s">
        <v>3</v>
      </c>
      <c r="H1430" s="4">
        <f>275/349.4</f>
        <v>0.787063537492845</v>
      </c>
    </row>
    <row r="1431" spans="2:8" ht="12.75">
      <c r="B1431" s="1">
        <f>SUM(B1427:B1430)</f>
        <v>1</v>
      </c>
      <c r="D1431" t="s">
        <v>75</v>
      </c>
      <c r="E1431" s="4">
        <f>28/366.8</f>
        <v>0.07633587786259542</v>
      </c>
      <c r="G1431" t="s">
        <v>75</v>
      </c>
      <c r="H1431" s="4">
        <f>56/349.4</f>
        <v>0.1602747567258157</v>
      </c>
    </row>
    <row r="1432" spans="4:8" ht="12.75">
      <c r="D1432" t="s">
        <v>16</v>
      </c>
      <c r="E1432" s="4">
        <f>3/366.8</f>
        <v>0.008178844056706653</v>
      </c>
      <c r="G1432" t="s">
        <v>1</v>
      </c>
      <c r="H1432" s="4">
        <f>18/349.4</f>
        <v>0.05151688609044076</v>
      </c>
    </row>
    <row r="1433" spans="1:8" ht="13.5" thickBot="1">
      <c r="A1433" s="22">
        <v>645</v>
      </c>
      <c r="B1433" s="22"/>
      <c r="D1433" t="s">
        <v>6</v>
      </c>
      <c r="E1433" s="3">
        <f>0.8/366.8</f>
        <v>0.0021810250817884407</v>
      </c>
      <c r="G1433" t="s">
        <v>6</v>
      </c>
      <c r="H1433" s="3">
        <f>0.4/349.4</f>
        <v>0.0011448196908986836</v>
      </c>
    </row>
    <row r="1434" spans="1:8" ht="12.75">
      <c r="A1434" t="s">
        <v>3</v>
      </c>
      <c r="B1434" s="4">
        <f>275/362.4</f>
        <v>0.7588300220750552</v>
      </c>
      <c r="E1434" s="1">
        <f>SUM(E1429:E1433)</f>
        <v>1</v>
      </c>
      <c r="H1434" s="1">
        <f>SUM(H1430:H1433)</f>
        <v>1.0000000000000002</v>
      </c>
    </row>
    <row r="1435" spans="1:2" ht="12.75">
      <c r="A1435" t="s">
        <v>1</v>
      </c>
      <c r="B1435" s="4">
        <f>63/362.4</f>
        <v>0.173841059602649</v>
      </c>
    </row>
    <row r="1436" spans="1:8" ht="12.75">
      <c r="A1436" t="s">
        <v>75</v>
      </c>
      <c r="B1436" s="4">
        <f>23.6/362.4</f>
        <v>0.06512141280353202</v>
      </c>
      <c r="D1436" s="22">
        <v>653</v>
      </c>
      <c r="E1436" s="22"/>
      <c r="G1436" s="22">
        <v>661</v>
      </c>
      <c r="H1436" s="22"/>
    </row>
    <row r="1437" spans="1:8" ht="13.5" thickBot="1">
      <c r="A1437" t="s">
        <v>6</v>
      </c>
      <c r="B1437" s="3">
        <f>0.8/362.4</f>
        <v>0.0022075055187637973</v>
      </c>
      <c r="D1437" t="s">
        <v>3</v>
      </c>
      <c r="E1437" s="4">
        <f>275/347</f>
        <v>0.792507204610951</v>
      </c>
      <c r="G1437" t="s">
        <v>3</v>
      </c>
      <c r="H1437" s="4">
        <f>275/339.2</f>
        <v>0.8107311320754718</v>
      </c>
    </row>
    <row r="1438" spans="2:8" ht="12.75">
      <c r="B1438" s="1">
        <f>SUM(B1434:B1437)</f>
        <v>1</v>
      </c>
      <c r="D1438" t="s">
        <v>75</v>
      </c>
      <c r="E1438" s="4">
        <f>53/347</f>
        <v>0.15273775216138327</v>
      </c>
      <c r="G1438" t="s">
        <v>75</v>
      </c>
      <c r="H1438" s="4">
        <f>50/339.2</f>
        <v>0.1474056603773585</v>
      </c>
    </row>
    <row r="1439" spans="2:8" ht="12.75">
      <c r="B1439" s="1"/>
      <c r="D1439" t="s">
        <v>1</v>
      </c>
      <c r="E1439" s="4">
        <f>12/347</f>
        <v>0.0345821325648415</v>
      </c>
      <c r="G1439" t="s">
        <v>24</v>
      </c>
      <c r="H1439" s="4">
        <f>10/339.2</f>
        <v>0.0294811320754717</v>
      </c>
    </row>
    <row r="1440" spans="2:8" ht="12.75">
      <c r="B1440" s="1"/>
      <c r="D1440" t="s">
        <v>24</v>
      </c>
      <c r="E1440" s="4">
        <f>6/347</f>
        <v>0.01729106628242075</v>
      </c>
      <c r="G1440" t="s">
        <v>1</v>
      </c>
      <c r="H1440" s="4">
        <f>4/339.2</f>
        <v>0.01179245283018868</v>
      </c>
    </row>
    <row r="1441" spans="2:8" ht="13.5" thickBot="1">
      <c r="B1441" s="1"/>
      <c r="D1441" t="s">
        <v>6</v>
      </c>
      <c r="E1441" s="3">
        <f>1/347</f>
        <v>0.002881844380403458</v>
      </c>
      <c r="G1441" t="s">
        <v>74</v>
      </c>
      <c r="H1441" s="3">
        <f>0.2/339.2</f>
        <v>0.000589622641509434</v>
      </c>
    </row>
    <row r="1442" spans="2:8" ht="12.75">
      <c r="B1442" s="1"/>
      <c r="E1442" s="1">
        <f>SUM(E1437:E1441)</f>
        <v>1</v>
      </c>
      <c r="H1442" s="1">
        <f>SUM(H1437:H1441)</f>
        <v>1</v>
      </c>
    </row>
    <row r="1443" spans="1:8" ht="12.75">
      <c r="A1443" s="22">
        <v>662</v>
      </c>
      <c r="B1443" s="22"/>
      <c r="D1443" s="22">
        <v>670</v>
      </c>
      <c r="E1443" s="22"/>
      <c r="G1443" s="22">
        <v>678</v>
      </c>
      <c r="H1443" s="22"/>
    </row>
    <row r="1444" spans="1:8" ht="12.75">
      <c r="A1444" t="s">
        <v>3</v>
      </c>
      <c r="B1444" s="4">
        <f>275/349</f>
        <v>0.7879656160458453</v>
      </c>
      <c r="D1444" t="s">
        <v>3</v>
      </c>
      <c r="E1444" s="4">
        <f>275/366.4</f>
        <v>0.7505458515283844</v>
      </c>
      <c r="G1444" t="s">
        <v>3</v>
      </c>
      <c r="H1444" s="4">
        <f>275/372.8</f>
        <v>0.7376609442060086</v>
      </c>
    </row>
    <row r="1445" spans="1:8" ht="12.75">
      <c r="A1445" t="s">
        <v>75</v>
      </c>
      <c r="B1445" s="4">
        <f>42/349</f>
        <v>0.12034383954154727</v>
      </c>
      <c r="D1445" t="s">
        <v>1</v>
      </c>
      <c r="E1445" s="4">
        <f>90/366.4</f>
        <v>0.24563318777292578</v>
      </c>
      <c r="G1445" t="s">
        <v>1</v>
      </c>
      <c r="H1445" s="4">
        <f>94/372.8</f>
        <v>0.2521459227467811</v>
      </c>
    </row>
    <row r="1446" spans="1:8" ht="12" customHeight="1">
      <c r="A1446" t="s">
        <v>24</v>
      </c>
      <c r="B1446" s="4">
        <f>20/349</f>
        <v>0.05730659025787966</v>
      </c>
      <c r="D1446" t="s">
        <v>5</v>
      </c>
      <c r="E1446" s="4">
        <f>1/366.4</f>
        <v>0.0027292576419213977</v>
      </c>
      <c r="G1446" t="s">
        <v>5</v>
      </c>
      <c r="H1446" s="4">
        <f>2.7/372.8</f>
        <v>0.007242489270386267</v>
      </c>
    </row>
    <row r="1447" spans="1:8" ht="12.75">
      <c r="A1447" t="s">
        <v>18</v>
      </c>
      <c r="B1447" s="4">
        <f>8/349</f>
        <v>0.022922636103151862</v>
      </c>
      <c r="D1447" t="s">
        <v>74</v>
      </c>
      <c r="E1447" s="4">
        <f>0.2/366.4</f>
        <v>0.0005458515283842796</v>
      </c>
      <c r="G1447" t="s">
        <v>11</v>
      </c>
      <c r="H1447" s="4">
        <f>0.7/372.8</f>
        <v>0.0018776824034334762</v>
      </c>
    </row>
    <row r="1448" spans="1:8" ht="13.5" thickBot="1">
      <c r="A1448" t="s">
        <v>1</v>
      </c>
      <c r="B1448" s="3">
        <f>4/349</f>
        <v>0.011461318051575931</v>
      </c>
      <c r="D1448" t="s">
        <v>75</v>
      </c>
      <c r="E1448" s="3">
        <f>0.2/366.4</f>
        <v>0.0005458515283842796</v>
      </c>
      <c r="G1448" t="s">
        <v>75</v>
      </c>
      <c r="H1448" s="3">
        <f>0.4/372.8</f>
        <v>0.001072961373390558</v>
      </c>
    </row>
    <row r="1449" spans="2:8" ht="12" customHeight="1">
      <c r="B1449" s="1">
        <f>SUM(B1444:B1448)</f>
        <v>0.9999999999999999</v>
      </c>
      <c r="E1449" s="1">
        <f>SUM(E1444:E1448)</f>
        <v>1.0000000000000002</v>
      </c>
      <c r="H1449" s="1">
        <f>SUM(H1444:H1448)</f>
        <v>1</v>
      </c>
    </row>
    <row r="1450" ht="12" customHeight="1"/>
    <row r="1451" spans="1:8" ht="12" customHeight="1">
      <c r="A1451" s="22">
        <v>663</v>
      </c>
      <c r="B1451" s="22"/>
      <c r="D1451" s="22">
        <v>671</v>
      </c>
      <c r="E1451" s="22"/>
      <c r="G1451" s="22">
        <v>679</v>
      </c>
      <c r="H1451" s="22"/>
    </row>
    <row r="1452" spans="1:8" ht="12.75">
      <c r="A1452" t="s">
        <v>3</v>
      </c>
      <c r="B1452" s="4">
        <f>275/372.5</f>
        <v>0.738255033557047</v>
      </c>
      <c r="D1452" t="s">
        <v>3</v>
      </c>
      <c r="E1452" s="4">
        <f>275/373.6</f>
        <v>0.7360813704496788</v>
      </c>
      <c r="G1452" t="s">
        <v>3</v>
      </c>
      <c r="H1452" s="4">
        <f>275/359.4</f>
        <v>0.765164162493044</v>
      </c>
    </row>
    <row r="1453" spans="1:8" ht="12.75">
      <c r="A1453" t="s">
        <v>1</v>
      </c>
      <c r="B1453" s="4">
        <f>96/372.5</f>
        <v>0.25771812080536916</v>
      </c>
      <c r="D1453" t="s">
        <v>1</v>
      </c>
      <c r="E1453" s="4">
        <f>96/373.6</f>
        <v>0.2569593147751606</v>
      </c>
      <c r="G1453" t="s">
        <v>1</v>
      </c>
      <c r="H1453" s="4">
        <f>80/359.4</f>
        <v>0.22259321090706735</v>
      </c>
    </row>
    <row r="1454" spans="1:8" ht="12.75">
      <c r="A1454" t="s">
        <v>5</v>
      </c>
      <c r="B1454" s="4">
        <f>1.2/372.5</f>
        <v>0.003221476510067114</v>
      </c>
      <c r="D1454" t="s">
        <v>5</v>
      </c>
      <c r="E1454" s="4">
        <f>1.6/373.6</f>
        <v>0.004282655246252677</v>
      </c>
      <c r="G1454" t="s">
        <v>5</v>
      </c>
      <c r="H1454" s="4">
        <f>2.6/359.4</f>
        <v>0.007234279354479689</v>
      </c>
    </row>
    <row r="1455" spans="1:8" ht="13.5" thickBot="1">
      <c r="A1455" t="s">
        <v>18</v>
      </c>
      <c r="B1455" s="3">
        <f>0.3/372.5</f>
        <v>0.0008053691275167785</v>
      </c>
      <c r="D1455" t="s">
        <v>11</v>
      </c>
      <c r="E1455" s="4">
        <f>0.8/373.6</f>
        <v>0.0021413276231263384</v>
      </c>
      <c r="G1455" t="s">
        <v>11</v>
      </c>
      <c r="H1455" s="4">
        <f>1.2/359.4</f>
        <v>0.00333889816360601</v>
      </c>
    </row>
    <row r="1456" spans="2:8" ht="13.5" thickBot="1">
      <c r="B1456" s="1">
        <f>SUM(B1452:B1455)</f>
        <v>1</v>
      </c>
      <c r="D1456" t="s">
        <v>75</v>
      </c>
      <c r="E1456" s="3">
        <f>0.2/373.6</f>
        <v>0.0005353319057815846</v>
      </c>
      <c r="G1456" t="s">
        <v>75</v>
      </c>
      <c r="H1456" s="3">
        <f>0.6/359.4</f>
        <v>0.001669449081803005</v>
      </c>
    </row>
    <row r="1457" spans="5:8" ht="12.75">
      <c r="E1457" s="1">
        <f>SUM(E1452:E1456)</f>
        <v>1</v>
      </c>
      <c r="H1457" s="1">
        <f>SUM(H1452:H1456)</f>
        <v>1</v>
      </c>
    </row>
    <row r="1458" spans="1:2" ht="12.75">
      <c r="A1458" s="22">
        <v>664</v>
      </c>
      <c r="B1458" s="22"/>
    </row>
    <row r="1459" spans="1:8" ht="12.75">
      <c r="A1459" t="s">
        <v>3</v>
      </c>
      <c r="B1459" s="4">
        <f>275/373.1</f>
        <v>0.737067810238542</v>
      </c>
      <c r="D1459" s="22">
        <v>672</v>
      </c>
      <c r="E1459" s="22"/>
      <c r="G1459" s="22">
        <v>680</v>
      </c>
      <c r="H1459" s="22"/>
    </row>
    <row r="1460" spans="1:8" ht="12.75">
      <c r="A1460" t="s">
        <v>1</v>
      </c>
      <c r="B1460" s="4">
        <f>96/373.1</f>
        <v>0.2573036719378183</v>
      </c>
      <c r="D1460" t="s">
        <v>3</v>
      </c>
      <c r="E1460" s="4">
        <f>275/372.2</f>
        <v>0.738850080601827</v>
      </c>
      <c r="G1460" t="s">
        <v>3</v>
      </c>
      <c r="H1460" s="4">
        <f>275/370.6</f>
        <v>0.7420399352401511</v>
      </c>
    </row>
    <row r="1461" spans="1:8" ht="12.75">
      <c r="A1461" t="s">
        <v>5</v>
      </c>
      <c r="B1461" s="4">
        <f>1.5/373.1</f>
        <v>0.004020369874028411</v>
      </c>
      <c r="D1461" t="s">
        <v>1</v>
      </c>
      <c r="E1461" s="4">
        <f>90/372.2</f>
        <v>0.2418054809242343</v>
      </c>
      <c r="G1461" t="s">
        <v>1</v>
      </c>
      <c r="H1461" s="4">
        <f>88/370.6</f>
        <v>0.23745277927684835</v>
      </c>
    </row>
    <row r="1462" spans="1:8" ht="12.75">
      <c r="A1462" t="s">
        <v>18</v>
      </c>
      <c r="B1462" s="4">
        <f>0.4/373.1</f>
        <v>0.0010720986330742428</v>
      </c>
      <c r="D1462" t="s">
        <v>5</v>
      </c>
      <c r="E1462" s="4">
        <f>4/372.2</f>
        <v>0.010746910263299303</v>
      </c>
      <c r="G1462" t="s">
        <v>5</v>
      </c>
      <c r="H1462" s="4">
        <f>4.8/370.6</f>
        <v>0.012951969778737181</v>
      </c>
    </row>
    <row r="1463" spans="1:8" ht="13.5" thickBot="1">
      <c r="A1463" t="s">
        <v>16</v>
      </c>
      <c r="B1463" s="3">
        <f>0.2/373.1</f>
        <v>0.0005360493165371214</v>
      </c>
      <c r="D1463" t="s">
        <v>11</v>
      </c>
      <c r="E1463" s="4">
        <f>3/372.2</f>
        <v>0.008060182697474477</v>
      </c>
      <c r="G1463" t="s">
        <v>11</v>
      </c>
      <c r="H1463" s="4">
        <f>2.6/370.6</f>
        <v>0.007015650296815974</v>
      </c>
    </row>
    <row r="1464" spans="2:8" ht="13.5" thickBot="1">
      <c r="B1464" s="1">
        <f>SUM(B1459:B1463)</f>
        <v>1</v>
      </c>
      <c r="D1464" t="s">
        <v>75</v>
      </c>
      <c r="E1464" s="3">
        <f>0.2/372.2</f>
        <v>0.0005373455131649651</v>
      </c>
      <c r="G1464" t="s">
        <v>6</v>
      </c>
      <c r="H1464" s="3">
        <f>0.2/370.6</f>
        <v>0.0005396654074473826</v>
      </c>
    </row>
    <row r="1465" spans="5:8" ht="12.75">
      <c r="E1465" s="1">
        <f>SUM(E1460:E1464)</f>
        <v>1</v>
      </c>
      <c r="H1465" s="1">
        <f>SUM(H1460:H1464)</f>
        <v>1</v>
      </c>
    </row>
    <row r="1466" spans="1:2" ht="12.75">
      <c r="A1466" s="22">
        <v>665</v>
      </c>
      <c r="B1466" s="22"/>
    </row>
    <row r="1467" spans="1:8" ht="12.75">
      <c r="A1467" t="s">
        <v>3</v>
      </c>
      <c r="B1467" s="4">
        <f>275/362.4</f>
        <v>0.7588300220750552</v>
      </c>
      <c r="D1467" s="22">
        <v>673</v>
      </c>
      <c r="E1467" s="22"/>
      <c r="G1467" s="22">
        <v>681</v>
      </c>
      <c r="H1467" s="22"/>
    </row>
    <row r="1468" spans="1:8" ht="12.75">
      <c r="A1468" t="s">
        <v>1</v>
      </c>
      <c r="B1468" s="4">
        <f>86/362.4</f>
        <v>0.2373068432671082</v>
      </c>
      <c r="D1468" t="s">
        <v>3</v>
      </c>
      <c r="E1468" s="4">
        <f>275/366.2</f>
        <v>0.7509557618787548</v>
      </c>
      <c r="G1468" t="s">
        <v>3</v>
      </c>
      <c r="H1468" s="4">
        <f>275/352.4</f>
        <v>0.7803632236095347</v>
      </c>
    </row>
    <row r="1469" spans="1:8" ht="12.75">
      <c r="A1469" t="s">
        <v>18</v>
      </c>
      <c r="B1469" s="4">
        <f>0.7/362.4</f>
        <v>0.0019315673289183224</v>
      </c>
      <c r="D1469" t="s">
        <v>1</v>
      </c>
      <c r="E1469" s="4">
        <f>80/366.2</f>
        <v>0.2184598580010923</v>
      </c>
      <c r="G1469" t="s">
        <v>1</v>
      </c>
      <c r="H1469" s="4">
        <f>60/352.4</f>
        <v>0.17026106696935303</v>
      </c>
    </row>
    <row r="1470" spans="1:8" ht="12.75">
      <c r="A1470" t="s">
        <v>5</v>
      </c>
      <c r="B1470" s="4">
        <f>0.5/362.4</f>
        <v>0.0013796909492273732</v>
      </c>
      <c r="D1470" t="s">
        <v>11</v>
      </c>
      <c r="E1470" s="4">
        <f>6/366.2</f>
        <v>0.016384489350081924</v>
      </c>
      <c r="G1470" t="s">
        <v>5</v>
      </c>
      <c r="H1470" s="4">
        <f>9/352.4</f>
        <v>0.025539160045402954</v>
      </c>
    </row>
    <row r="1471" spans="1:8" ht="12.75" customHeight="1" thickBot="1">
      <c r="A1471" t="s">
        <v>6</v>
      </c>
      <c r="B1471" s="3">
        <f>0.2/362.4</f>
        <v>0.0005518763796909493</v>
      </c>
      <c r="D1471" t="s">
        <v>5</v>
      </c>
      <c r="E1471" s="3">
        <f>5.2/366.2</f>
        <v>0.014199890770071</v>
      </c>
      <c r="G1471" t="s">
        <v>11</v>
      </c>
      <c r="H1471" s="4">
        <f>8/352.4</f>
        <v>0.022701475595913737</v>
      </c>
    </row>
    <row r="1472" spans="2:8" ht="13.5" thickBot="1">
      <c r="B1472" s="1">
        <f>SUM(B1467:B1471)</f>
        <v>1</v>
      </c>
      <c r="E1472" s="1">
        <f>SUM(E1468:E1471)</f>
        <v>1</v>
      </c>
      <c r="G1472" t="s">
        <v>6</v>
      </c>
      <c r="H1472" s="3">
        <f>0.4/352.4</f>
        <v>0.001135073779795687</v>
      </c>
    </row>
    <row r="1473" ht="12.75">
      <c r="H1473" s="1">
        <f>SUM(H1468:H1472)</f>
        <v>1</v>
      </c>
    </row>
    <row r="1474" spans="1:5" ht="12.75">
      <c r="A1474" s="22">
        <v>666</v>
      </c>
      <c r="B1474" s="22"/>
      <c r="D1474" s="22">
        <v>674</v>
      </c>
      <c r="E1474" s="22"/>
    </row>
    <row r="1475" spans="1:8" ht="12.75">
      <c r="A1475" t="s">
        <v>3</v>
      </c>
      <c r="B1475" s="4">
        <f>275/369.7</f>
        <v>0.7438463619150663</v>
      </c>
      <c r="D1475" t="s">
        <v>3</v>
      </c>
      <c r="E1475" s="4">
        <f>275/362.8</f>
        <v>0.7579933847850054</v>
      </c>
      <c r="G1475" s="22">
        <v>682</v>
      </c>
      <c r="H1475" s="22"/>
    </row>
    <row r="1476" spans="1:8" ht="12.75">
      <c r="A1476" t="s">
        <v>1</v>
      </c>
      <c r="B1476" s="4">
        <f>90/369.7</f>
        <v>0.24344062753583987</v>
      </c>
      <c r="D1476" t="s">
        <v>1</v>
      </c>
      <c r="E1476" s="4">
        <f>70/362.8</f>
        <v>0.19294377067254684</v>
      </c>
      <c r="G1476" t="s">
        <v>3</v>
      </c>
      <c r="H1476" s="4">
        <f>275/333.8</f>
        <v>0.8238466147393648</v>
      </c>
    </row>
    <row r="1477" spans="1:8" ht="12.75">
      <c r="A1477" t="s">
        <v>18</v>
      </c>
      <c r="B1477" s="4">
        <f>2.5/369.7</f>
        <v>0.00676223965377333</v>
      </c>
      <c r="D1477" t="s">
        <v>11</v>
      </c>
      <c r="E1477" s="4">
        <f>11/362.8</f>
        <v>0.030319735391400218</v>
      </c>
      <c r="G1477" t="s">
        <v>1</v>
      </c>
      <c r="H1477" s="4">
        <f>28/333.8</f>
        <v>0.08388256440982624</v>
      </c>
    </row>
    <row r="1478" spans="1:8" ht="13.5" thickBot="1">
      <c r="A1478" t="s">
        <v>5</v>
      </c>
      <c r="B1478" s="4">
        <f>1.5/369.7</f>
        <v>0.004057343792263998</v>
      </c>
      <c r="D1478" t="s">
        <v>5</v>
      </c>
      <c r="E1478" s="3">
        <f>6.8/362.8</f>
        <v>0.018743109151047408</v>
      </c>
      <c r="G1478" t="s">
        <v>11</v>
      </c>
      <c r="H1478" s="4">
        <f>16/333.8</f>
        <v>0.04793289394847214</v>
      </c>
    </row>
    <row r="1479" spans="1:8" ht="13.5" thickBot="1">
      <c r="A1479" t="s">
        <v>6</v>
      </c>
      <c r="B1479" s="3">
        <f>0.7/369.7</f>
        <v>0.0018934271030565323</v>
      </c>
      <c r="E1479" s="1">
        <f>SUM(E1475:E1478)</f>
        <v>0.9999999999999999</v>
      </c>
      <c r="G1479" t="s">
        <v>5</v>
      </c>
      <c r="H1479" s="4">
        <f>14/333.8</f>
        <v>0.04194128220491312</v>
      </c>
    </row>
    <row r="1480" spans="2:8" ht="13.5" thickBot="1">
      <c r="B1480" s="1">
        <f>SUM(B1475:B1479)</f>
        <v>0.9999999999999999</v>
      </c>
      <c r="G1480" t="s">
        <v>6</v>
      </c>
      <c r="H1480" s="3">
        <f>0.8/333.8</f>
        <v>0.002396644697423607</v>
      </c>
    </row>
    <row r="1481" spans="4:8" ht="12.75">
      <c r="D1481" s="22">
        <v>675</v>
      </c>
      <c r="E1481" s="22"/>
      <c r="H1481" s="1">
        <f>SUM(H1476:H1480)</f>
        <v>0.9999999999999999</v>
      </c>
    </row>
    <row r="1482" spans="1:5" ht="12.75">
      <c r="A1482" s="22">
        <v>667</v>
      </c>
      <c r="B1482" s="22"/>
      <c r="D1482" t="s">
        <v>3</v>
      </c>
      <c r="E1482" s="4">
        <f>275/339.2</f>
        <v>0.8107311320754718</v>
      </c>
    </row>
    <row r="1483" spans="1:8" ht="12.75">
      <c r="A1483" t="s">
        <v>3</v>
      </c>
      <c r="B1483" s="4">
        <f>275/353</f>
        <v>0.7790368271954674</v>
      </c>
      <c r="D1483" t="s">
        <v>11</v>
      </c>
      <c r="E1483" s="4">
        <f>33/339.2</f>
        <v>0.0972877358490566</v>
      </c>
      <c r="G1483" s="22">
        <v>683</v>
      </c>
      <c r="H1483" s="22"/>
    </row>
    <row r="1484" spans="1:8" ht="12.75">
      <c r="A1484" t="s">
        <v>1</v>
      </c>
      <c r="B1484" s="4">
        <f>60/353</f>
        <v>0.16997167138810199</v>
      </c>
      <c r="D1484" t="s">
        <v>1</v>
      </c>
      <c r="E1484" s="4">
        <f>28/339.2</f>
        <v>0.08254716981132076</v>
      </c>
      <c r="G1484" t="s">
        <v>3</v>
      </c>
      <c r="H1484" s="4">
        <f>275/312.2</f>
        <v>0.8808456117873159</v>
      </c>
    </row>
    <row r="1485" spans="1:8" ht="13.5" thickBot="1">
      <c r="A1485" t="s">
        <v>18</v>
      </c>
      <c r="B1485" s="4">
        <f>11.6/353</f>
        <v>0.03286118980169971</v>
      </c>
      <c r="D1485" t="s">
        <v>5</v>
      </c>
      <c r="E1485" s="3">
        <f>3.2/339.2</f>
        <v>0.009433962264150945</v>
      </c>
      <c r="G1485" t="s">
        <v>11</v>
      </c>
      <c r="H1485" s="4">
        <f>30/312.2</f>
        <v>0.09609224855861627</v>
      </c>
    </row>
    <row r="1486" spans="1:8" ht="12.75">
      <c r="A1486" t="s">
        <v>5</v>
      </c>
      <c r="B1486" s="4">
        <f>4.4/353</f>
        <v>0.01246458923512748</v>
      </c>
      <c r="E1486" s="1">
        <f>SUM(E1482:E1485)</f>
        <v>1.0000000000000002</v>
      </c>
      <c r="G1486" t="s">
        <v>1</v>
      </c>
      <c r="H1486" s="4">
        <f>4/312.2</f>
        <v>0.012812299807815503</v>
      </c>
    </row>
    <row r="1487" spans="1:8" ht="12.75" customHeight="1" thickBot="1">
      <c r="A1487" t="s">
        <v>6</v>
      </c>
      <c r="B1487" s="3">
        <f>2/353</f>
        <v>0.0056657223796034</v>
      </c>
      <c r="G1487" t="s">
        <v>5</v>
      </c>
      <c r="H1487" s="4">
        <f>3/312.2</f>
        <v>0.009609224855861628</v>
      </c>
    </row>
    <row r="1488" spans="2:8" ht="12.75" customHeight="1" thickBot="1">
      <c r="B1488" s="1">
        <f>SUM(B1483:B1487)</f>
        <v>1</v>
      </c>
      <c r="D1488" s="22">
        <v>676</v>
      </c>
      <c r="E1488" s="22"/>
      <c r="G1488" t="s">
        <v>6</v>
      </c>
      <c r="H1488" s="3">
        <f>0.2/312.2</f>
        <v>0.0006406149903907752</v>
      </c>
    </row>
    <row r="1489" spans="4:8" ht="12.75">
      <c r="D1489" t="s">
        <v>3</v>
      </c>
      <c r="E1489" s="4">
        <f>275/339.4</f>
        <v>0.8102533883323513</v>
      </c>
      <c r="H1489" s="1">
        <f>SUM(H1484:H1488)</f>
        <v>1</v>
      </c>
    </row>
    <row r="1490" spans="1:5" ht="12.75">
      <c r="A1490" s="22">
        <v>668</v>
      </c>
      <c r="B1490" s="22"/>
      <c r="D1490" t="s">
        <v>11</v>
      </c>
      <c r="E1490" s="4">
        <f>37.6/339.4</f>
        <v>0.11078373600471421</v>
      </c>
    </row>
    <row r="1491" spans="1:8" ht="12.75">
      <c r="A1491" t="s">
        <v>3</v>
      </c>
      <c r="B1491" s="4">
        <f>275/337.4</f>
        <v>0.8150563129816243</v>
      </c>
      <c r="D1491" t="s">
        <v>16</v>
      </c>
      <c r="E1491" s="4">
        <f>17.8/339.4</f>
        <v>0.05244549204478492</v>
      </c>
      <c r="G1491" s="22">
        <v>684</v>
      </c>
      <c r="H1491" s="22"/>
    </row>
    <row r="1492" spans="1:8" ht="13.5" thickBot="1">
      <c r="A1492" t="s">
        <v>1</v>
      </c>
      <c r="B1492" s="4">
        <f>35/337.4</f>
        <v>0.1037344398340249</v>
      </c>
      <c r="D1492" t="s">
        <v>1</v>
      </c>
      <c r="E1492" s="3">
        <f>9/339.4</f>
        <v>0.02651738361814968</v>
      </c>
      <c r="G1492" t="s">
        <v>3</v>
      </c>
      <c r="H1492" s="4">
        <f>275/335.7</f>
        <v>0.8191837950551087</v>
      </c>
    </row>
    <row r="1493" spans="1:8" ht="12.75">
      <c r="A1493" t="s">
        <v>18</v>
      </c>
      <c r="B1493" s="4">
        <f>22.4/337.4</f>
        <v>0.06639004149377593</v>
      </c>
      <c r="E1493" s="1">
        <f>SUM(E1489:E1492)</f>
        <v>1</v>
      </c>
      <c r="G1493" t="s">
        <v>1</v>
      </c>
      <c r="H1493" s="4">
        <f>60/335.7</f>
        <v>0.17873100983020554</v>
      </c>
    </row>
    <row r="1494" spans="1:8" ht="12.75">
      <c r="A1494" t="s">
        <v>5</v>
      </c>
      <c r="B1494" s="4">
        <f>3/337.4</f>
        <v>0.008891523414344992</v>
      </c>
      <c r="G1494" t="s">
        <v>75</v>
      </c>
      <c r="H1494" s="4">
        <f>0.3/335.7</f>
        <v>0.0008936550491510277</v>
      </c>
    </row>
    <row r="1495" spans="1:8" ht="13.5" thickBot="1">
      <c r="A1495" t="s">
        <v>6</v>
      </c>
      <c r="B1495" s="3">
        <f>2/337.4</f>
        <v>0.005927682276229995</v>
      </c>
      <c r="D1495" s="22">
        <v>677</v>
      </c>
      <c r="E1495" s="22"/>
      <c r="G1495" t="s">
        <v>11</v>
      </c>
      <c r="H1495" s="4">
        <f>0.2/335.7</f>
        <v>0.0005957700327673519</v>
      </c>
    </row>
    <row r="1496" spans="2:8" ht="13.5" thickBot="1">
      <c r="B1496" s="1">
        <f>SUM(B1491:B1495)</f>
        <v>1</v>
      </c>
      <c r="D1496" t="s">
        <v>3</v>
      </c>
      <c r="E1496" s="4">
        <f>275/373.6</f>
        <v>0.7360813704496788</v>
      </c>
      <c r="G1496" t="s">
        <v>7</v>
      </c>
      <c r="H1496" s="3">
        <f>0.2/335.7</f>
        <v>0.0005957700327673519</v>
      </c>
    </row>
    <row r="1497" spans="4:8" ht="10.5" customHeight="1">
      <c r="D1497" t="s">
        <v>1</v>
      </c>
      <c r="E1497" s="4">
        <f>96/373.6</f>
        <v>0.2569593147751606</v>
      </c>
      <c r="H1497" s="1">
        <f>SUM(H1492:H1496)</f>
        <v>1</v>
      </c>
    </row>
    <row r="1498" spans="1:5" ht="12.75">
      <c r="A1498" s="22">
        <v>669</v>
      </c>
      <c r="B1498" s="22"/>
      <c r="D1498" t="s">
        <v>5</v>
      </c>
      <c r="E1498" s="4">
        <f>1.9/373.6</f>
        <v>0.005085653104925053</v>
      </c>
    </row>
    <row r="1499" spans="1:8" ht="11.25" customHeight="1">
      <c r="A1499" t="s">
        <v>3</v>
      </c>
      <c r="B1499" s="4">
        <f>275/324</f>
        <v>0.8487654320987654</v>
      </c>
      <c r="D1499" t="s">
        <v>11</v>
      </c>
      <c r="E1499" s="4">
        <f>0.4/373.6</f>
        <v>0.0010706638115631692</v>
      </c>
      <c r="G1499" s="22">
        <v>685</v>
      </c>
      <c r="H1499" s="22"/>
    </row>
    <row r="1500" spans="1:8" ht="13.5" thickBot="1">
      <c r="A1500" t="s">
        <v>18</v>
      </c>
      <c r="B1500" s="4">
        <f>31.2/324</f>
        <v>0.0962962962962963</v>
      </c>
      <c r="D1500" t="s">
        <v>75</v>
      </c>
      <c r="E1500" s="3">
        <f>0.3/373.6</f>
        <v>0.0008029978586723768</v>
      </c>
      <c r="G1500" t="s">
        <v>3</v>
      </c>
      <c r="H1500" s="4">
        <f>275/331.9</f>
        <v>0.8285628201265441</v>
      </c>
    </row>
    <row r="1501" spans="1:8" ht="12.75">
      <c r="A1501" t="s">
        <v>1</v>
      </c>
      <c r="B1501" s="4">
        <f>13/324</f>
        <v>0.040123456790123455</v>
      </c>
      <c r="E1501" s="1">
        <f>SUM(E1496:E1500)</f>
        <v>1</v>
      </c>
      <c r="G1501" t="s">
        <v>1</v>
      </c>
      <c r="H1501" s="4">
        <f>56/331.9</f>
        <v>0.1687255197348599</v>
      </c>
    </row>
    <row r="1502" spans="1:8" ht="12" customHeight="1">
      <c r="A1502" t="s">
        <v>5</v>
      </c>
      <c r="B1502" s="4">
        <f>2.5/324</f>
        <v>0.007716049382716049</v>
      </c>
      <c r="G1502" t="s">
        <v>7</v>
      </c>
      <c r="H1502" s="4">
        <f>0.4/331.9</f>
        <v>0.001205182283820428</v>
      </c>
    </row>
    <row r="1503" spans="1:8" ht="13.5" thickBot="1">
      <c r="A1503" t="s">
        <v>6</v>
      </c>
      <c r="B1503" s="3">
        <f>2.3/324</f>
        <v>0.007098765432098765</v>
      </c>
      <c r="G1503" t="s">
        <v>11</v>
      </c>
      <c r="H1503" s="4">
        <f>0.4/331.9</f>
        <v>0.001205182283820428</v>
      </c>
    </row>
    <row r="1504" spans="2:8" ht="11.25" customHeight="1" thickBot="1">
      <c r="B1504" s="1">
        <f>SUM(B1499:B1503)</f>
        <v>1</v>
      </c>
      <c r="G1504" t="s">
        <v>24</v>
      </c>
      <c r="H1504" s="3">
        <f>0.1/331.9</f>
        <v>0.000301295570955107</v>
      </c>
    </row>
    <row r="1505" ht="11.25" customHeight="1">
      <c r="H1505" s="1">
        <f>SUM(H1500:H1504)</f>
        <v>1</v>
      </c>
    </row>
    <row r="1506" spans="1:8" ht="12.75">
      <c r="A1506" s="22">
        <v>686</v>
      </c>
      <c r="B1506" s="22"/>
      <c r="D1506" s="22">
        <v>694</v>
      </c>
      <c r="E1506" s="22"/>
      <c r="G1506" s="22">
        <v>702</v>
      </c>
      <c r="H1506" s="22"/>
    </row>
    <row r="1507" spans="1:8" ht="12.75">
      <c r="A1507" t="s">
        <v>3</v>
      </c>
      <c r="B1507" s="4">
        <f>275/330.3</f>
        <v>0.8325764456554647</v>
      </c>
      <c r="D1507" t="s">
        <v>3</v>
      </c>
      <c r="E1507" s="4">
        <f>275/364.1</f>
        <v>0.755287009063444</v>
      </c>
      <c r="G1507" t="s">
        <v>3</v>
      </c>
      <c r="H1507" s="4">
        <f>275/362</f>
        <v>0.7596685082872928</v>
      </c>
    </row>
    <row r="1508" spans="1:8" ht="12.75">
      <c r="A1508" t="s">
        <v>1</v>
      </c>
      <c r="B1508" s="4">
        <f>54/330.3</f>
        <v>0.16348773841961853</v>
      </c>
      <c r="D1508" t="s">
        <v>1</v>
      </c>
      <c r="E1508" s="4">
        <f>80/364.1</f>
        <v>0.21971985718209283</v>
      </c>
      <c r="G1508" t="s">
        <v>1</v>
      </c>
      <c r="H1508" s="4">
        <f>68/362</f>
        <v>0.1878453038674033</v>
      </c>
    </row>
    <row r="1509" spans="1:8" ht="12.75">
      <c r="A1509" t="s">
        <v>11</v>
      </c>
      <c r="B1509" s="4">
        <f>0.7/330.3</f>
        <v>0.002119285498032092</v>
      </c>
      <c r="D1509" t="s">
        <v>11</v>
      </c>
      <c r="E1509" s="4">
        <f>6/364.1</f>
        <v>0.016478989288656962</v>
      </c>
      <c r="G1509" t="s">
        <v>7</v>
      </c>
      <c r="H1509" s="4">
        <f>9.6/362</f>
        <v>0.026519337016574586</v>
      </c>
    </row>
    <row r="1510" spans="1:8" ht="12.75">
      <c r="A1510" t="s">
        <v>7</v>
      </c>
      <c r="B1510" s="4">
        <f>0.5/330.3</f>
        <v>0.0015137753557372085</v>
      </c>
      <c r="D1510" t="s">
        <v>2</v>
      </c>
      <c r="E1510" s="4">
        <f>2.6/364.1</f>
        <v>0.007140895358418017</v>
      </c>
      <c r="G1510" t="s">
        <v>11</v>
      </c>
      <c r="H1510" s="4">
        <f>9.2/362</f>
        <v>0.025414364640883976</v>
      </c>
    </row>
    <row r="1511" spans="1:8" ht="13.5" thickBot="1">
      <c r="A1511" t="s">
        <v>24</v>
      </c>
      <c r="B1511" s="3">
        <f>0.1/330.3</f>
        <v>0.0003027550711474417</v>
      </c>
      <c r="D1511" t="s">
        <v>6</v>
      </c>
      <c r="E1511" s="3">
        <f>0.5/364.1</f>
        <v>0.0013732491073880802</v>
      </c>
      <c r="G1511" t="s">
        <v>6</v>
      </c>
      <c r="H1511" s="3">
        <f>0.2/362</f>
        <v>0.0005524861878453039</v>
      </c>
    </row>
    <row r="1512" spans="2:8" ht="12.75">
      <c r="B1512" s="1">
        <f>SUM(B1507:B1511)</f>
        <v>0.9999999999999999</v>
      </c>
      <c r="E1512" s="1">
        <f>SUM(E1507:E1511)</f>
        <v>1</v>
      </c>
      <c r="H1512" s="1">
        <f>SUM(H1507:H1511)</f>
        <v>1</v>
      </c>
    </row>
    <row r="1514" spans="1:8" ht="12.75">
      <c r="A1514" s="22">
        <v>687</v>
      </c>
      <c r="B1514" s="22"/>
      <c r="D1514" s="22">
        <v>695</v>
      </c>
      <c r="E1514" s="22"/>
      <c r="G1514" s="22">
        <v>703</v>
      </c>
      <c r="H1514" s="22"/>
    </row>
    <row r="1515" spans="1:8" ht="12.75">
      <c r="A1515" t="s">
        <v>3</v>
      </c>
      <c r="B1515" s="4">
        <f>275/326.1</f>
        <v>0.8432996013492793</v>
      </c>
      <c r="D1515" t="s">
        <v>3</v>
      </c>
      <c r="E1515" s="4">
        <f>275/350.9</f>
        <v>0.7836990595611286</v>
      </c>
      <c r="G1515" t="s">
        <v>3</v>
      </c>
      <c r="H1515" s="4">
        <f>275/338.2</f>
        <v>0.8131283264340627</v>
      </c>
    </row>
    <row r="1516" spans="1:8" ht="12.75">
      <c r="A1516" t="s">
        <v>1</v>
      </c>
      <c r="B1516" s="4">
        <f>48/326.1</f>
        <v>0.14719411223551057</v>
      </c>
      <c r="D1516" t="s">
        <v>1</v>
      </c>
      <c r="E1516" s="4">
        <f>56/350.9</f>
        <v>0.15958962667426618</v>
      </c>
      <c r="G1516" t="s">
        <v>1</v>
      </c>
      <c r="H1516" s="4">
        <f>26/338.2</f>
        <v>0.0768775872264932</v>
      </c>
    </row>
    <row r="1517" spans="1:8" ht="12.75">
      <c r="A1517" t="s">
        <v>11</v>
      </c>
      <c r="B1517" s="4">
        <f>1.6/326.1</f>
        <v>0.004906470407850353</v>
      </c>
      <c r="D1517" t="s">
        <v>11</v>
      </c>
      <c r="E1517" s="4">
        <f>14.4/350.9</f>
        <v>0.04103733257338273</v>
      </c>
      <c r="G1517" t="s">
        <v>7</v>
      </c>
      <c r="H1517" s="4">
        <f>21/338.2</f>
        <v>0.06209343583678297</v>
      </c>
    </row>
    <row r="1518" spans="1:8" ht="12.75">
      <c r="A1518" t="s">
        <v>7</v>
      </c>
      <c r="B1518" s="4">
        <f>1.2/326.1</f>
        <v>0.003679852805887764</v>
      </c>
      <c r="D1518" t="s">
        <v>2</v>
      </c>
      <c r="E1518" s="4">
        <f>5/350.9</f>
        <v>0.014249073810202338</v>
      </c>
      <c r="G1518" t="s">
        <v>11</v>
      </c>
      <c r="H1518" s="4">
        <f>16/338.2</f>
        <v>0.04730928444707274</v>
      </c>
    </row>
    <row r="1519" spans="1:8" ht="13.5" thickBot="1">
      <c r="A1519" t="s">
        <v>24</v>
      </c>
      <c r="B1519" s="3">
        <f>0.3/326.1</f>
        <v>0.000919963201471941</v>
      </c>
      <c r="D1519" t="s">
        <v>6</v>
      </c>
      <c r="E1519" s="3">
        <f>0.5/350.9</f>
        <v>0.0014249073810202338</v>
      </c>
      <c r="G1519" t="s">
        <v>6</v>
      </c>
      <c r="H1519" s="3">
        <f>0.2/338.2</f>
        <v>0.0005913660555884093</v>
      </c>
    </row>
    <row r="1520" spans="2:8" ht="12.75">
      <c r="B1520" s="1">
        <f>SUM(B1515:B1519)</f>
        <v>0.9999999999999999</v>
      </c>
      <c r="E1520" s="1">
        <f>SUM(E1515:E1519)</f>
        <v>1.0000000000000002</v>
      </c>
      <c r="H1520" s="1">
        <f>SUM(H1515:H1519)</f>
        <v>1</v>
      </c>
    </row>
    <row r="1522" spans="1:8" ht="12.75">
      <c r="A1522" s="22">
        <v>688</v>
      </c>
      <c r="B1522" s="22"/>
      <c r="D1522" s="22">
        <v>696</v>
      </c>
      <c r="E1522" s="22"/>
      <c r="G1522" s="22">
        <v>704</v>
      </c>
      <c r="H1522" s="22"/>
    </row>
    <row r="1523" spans="1:8" ht="12.75">
      <c r="A1523" t="s">
        <v>3</v>
      </c>
      <c r="B1523" s="4">
        <f>275/380.8</f>
        <v>0.7221638655462185</v>
      </c>
      <c r="D1523" t="s">
        <v>3</v>
      </c>
      <c r="E1523" s="4">
        <f>275/329.7</f>
        <v>0.8340915984228087</v>
      </c>
      <c r="G1523" t="s">
        <v>3</v>
      </c>
      <c r="H1523" s="4">
        <f>275/329.9</f>
        <v>0.8335859351318582</v>
      </c>
    </row>
    <row r="1524" spans="1:8" ht="12.75">
      <c r="A1524" t="s">
        <v>1</v>
      </c>
      <c r="B1524" s="4">
        <f>90/380.8</f>
        <v>0.23634453781512604</v>
      </c>
      <c r="D1524" t="s">
        <v>11</v>
      </c>
      <c r="E1524" s="4">
        <f>25/329.7</f>
        <v>0.07582650894752806</v>
      </c>
      <c r="G1524" t="s">
        <v>7</v>
      </c>
      <c r="H1524" s="4">
        <f>28/329.9</f>
        <v>0.08487420430433465</v>
      </c>
    </row>
    <row r="1525" spans="1:8" ht="12.75">
      <c r="A1525" t="s">
        <v>11</v>
      </c>
      <c r="B1525" s="4">
        <f>13/380.8</f>
        <v>0.03413865546218487</v>
      </c>
      <c r="D1525" t="s">
        <v>1</v>
      </c>
      <c r="E1525" s="4">
        <f>17/329.7</f>
        <v>0.051562026084319076</v>
      </c>
      <c r="G1525" t="s">
        <v>11</v>
      </c>
      <c r="H1525" s="4">
        <f>21.6/329.9</f>
        <v>0.06547438617762959</v>
      </c>
    </row>
    <row r="1526" spans="1:8" ht="12.75">
      <c r="A1526" t="s">
        <v>2</v>
      </c>
      <c r="B1526" s="4">
        <f>2/380.8</f>
        <v>0.005252100840336134</v>
      </c>
      <c r="D1526" t="s">
        <v>2</v>
      </c>
      <c r="E1526" s="4">
        <f>12/329.7</f>
        <v>0.03639672429481347</v>
      </c>
      <c r="G1526" t="s">
        <v>1</v>
      </c>
      <c r="H1526" s="4">
        <f>5/329.9</f>
        <v>0.015156107911488331</v>
      </c>
    </row>
    <row r="1527" spans="1:8" ht="13.5" thickBot="1">
      <c r="A1527" t="s">
        <v>6</v>
      </c>
      <c r="B1527" s="3">
        <f>0.8/380.8</f>
        <v>0.0021008403361344537</v>
      </c>
      <c r="D1527" t="s">
        <v>6</v>
      </c>
      <c r="E1527" s="3">
        <f>0.7/329.7</f>
        <v>0.0021231422505307855</v>
      </c>
      <c r="G1527" t="s">
        <v>6</v>
      </c>
      <c r="H1527" s="3">
        <f>0.3/329.9</f>
        <v>0.0009093664746892998</v>
      </c>
    </row>
    <row r="1528" spans="2:8" ht="12.75">
      <c r="B1528" s="1">
        <f>SUM(B1523:B1527)</f>
        <v>0.9999999999999999</v>
      </c>
      <c r="E1528" s="1">
        <f>SUM(E1523:E1527)</f>
        <v>1</v>
      </c>
      <c r="H1528" s="1">
        <f>SUM(H1523:H1527)</f>
        <v>1</v>
      </c>
    </row>
    <row r="1530" spans="1:8" ht="12.75">
      <c r="A1530" s="22">
        <v>689</v>
      </c>
      <c r="B1530" s="22"/>
      <c r="D1530" s="22">
        <v>697</v>
      </c>
      <c r="E1530" s="22"/>
      <c r="G1530" s="22">
        <v>705</v>
      </c>
      <c r="H1530" s="22"/>
    </row>
    <row r="1531" spans="1:8" ht="12.75">
      <c r="A1531" t="s">
        <v>3</v>
      </c>
      <c r="B1531" s="4">
        <f>275/354.6</f>
        <v>0.775521714608009</v>
      </c>
      <c r="D1531" t="s">
        <v>3</v>
      </c>
      <c r="E1531" s="4">
        <f>275/332.9</f>
        <v>0.8260738960648845</v>
      </c>
      <c r="G1531" t="s">
        <v>3</v>
      </c>
      <c r="H1531" s="4">
        <f>275/365.9</f>
        <v>0.7515714676141022</v>
      </c>
    </row>
    <row r="1532" spans="1:8" ht="12.75">
      <c r="A1532" t="s">
        <v>1</v>
      </c>
      <c r="B1532" s="4">
        <f>50/354.6</f>
        <v>0.1410039481105471</v>
      </c>
      <c r="D1532" t="s">
        <v>11</v>
      </c>
      <c r="E1532" s="4">
        <f>30/332.9</f>
        <v>0.09011715229798739</v>
      </c>
      <c r="G1532" t="s">
        <v>1</v>
      </c>
      <c r="H1532" s="4">
        <f>90/365.9</f>
        <v>0.24596884394643348</v>
      </c>
    </row>
    <row r="1533" spans="1:8" ht="12.75">
      <c r="A1533" t="s">
        <v>11</v>
      </c>
      <c r="B1533" s="4">
        <f>25.6/354.6</f>
        <v>0.0721940214326001</v>
      </c>
      <c r="D1533" t="s">
        <v>2</v>
      </c>
      <c r="E1533" s="4">
        <f>18/332.9</f>
        <v>0.054070291378792434</v>
      </c>
      <c r="G1533" t="s">
        <v>75</v>
      </c>
      <c r="H1533" s="4">
        <f>0.5/365.9</f>
        <v>0.001366493577480186</v>
      </c>
    </row>
    <row r="1534" spans="1:8" ht="12.75">
      <c r="A1534" t="s">
        <v>2</v>
      </c>
      <c r="B1534" s="4">
        <f>2.8/354.6</f>
        <v>0.007896221094190636</v>
      </c>
      <c r="D1534" t="s">
        <v>1</v>
      </c>
      <c r="E1534" s="4">
        <f>9/332.9</f>
        <v>0.027035145689396217</v>
      </c>
      <c r="G1534" t="s">
        <v>7</v>
      </c>
      <c r="H1534" s="4">
        <f>0.3/365.9</f>
        <v>0.0008198961464881115</v>
      </c>
    </row>
    <row r="1535" spans="1:8" ht="13.5" thickBot="1">
      <c r="A1535" t="s">
        <v>6</v>
      </c>
      <c r="B1535" s="3">
        <f>1.2/354.6</f>
        <v>0.0033840947546531297</v>
      </c>
      <c r="D1535" t="s">
        <v>6</v>
      </c>
      <c r="E1535" s="3">
        <f>0.9/332.9</f>
        <v>0.0027035145689396217</v>
      </c>
      <c r="G1535" t="s">
        <v>16</v>
      </c>
      <c r="H1535" s="3">
        <f>0.1/365.9</f>
        <v>0.0002732987154960372</v>
      </c>
    </row>
    <row r="1536" spans="2:8" ht="12.75">
      <c r="B1536" s="1">
        <f>SUM(B1531:B1535)</f>
        <v>1</v>
      </c>
      <c r="E1536" s="1">
        <f>SUM(E1531:E1535)</f>
        <v>1.0000000000000002</v>
      </c>
      <c r="H1536" s="1">
        <f>SUM(H1531:H1535)</f>
        <v>1</v>
      </c>
    </row>
    <row r="1538" spans="1:8" ht="12.75">
      <c r="A1538" s="22">
        <v>690</v>
      </c>
      <c r="B1538" s="22"/>
      <c r="D1538" s="22">
        <v>698</v>
      </c>
      <c r="E1538" s="22"/>
      <c r="G1538" s="22">
        <v>706</v>
      </c>
      <c r="H1538" s="22"/>
    </row>
    <row r="1539" spans="1:8" ht="12.75">
      <c r="A1539" t="s">
        <v>3</v>
      </c>
      <c r="B1539" s="4">
        <f>275/330.9</f>
        <v>0.8310667875491086</v>
      </c>
      <c r="D1539" t="s">
        <v>3</v>
      </c>
      <c r="E1539" s="4">
        <f>275/371.6</f>
        <v>0.740043057050592</v>
      </c>
      <c r="G1539" t="s">
        <v>3</v>
      </c>
      <c r="H1539" s="4">
        <f>275/356.6</f>
        <v>0.7711721817162086</v>
      </c>
    </row>
    <row r="1540" spans="1:8" ht="12.75">
      <c r="A1540" t="s">
        <v>11</v>
      </c>
      <c r="B1540" s="4">
        <f>37.6/330.9</f>
        <v>0.11362949531580539</v>
      </c>
      <c r="D1540" t="s">
        <v>1</v>
      </c>
      <c r="E1540" s="4">
        <f>96/371.6</f>
        <v>0.25834230355220666</v>
      </c>
      <c r="G1540" t="s">
        <v>1</v>
      </c>
      <c r="H1540" s="4">
        <f>80/356.6</f>
        <v>0.2243409983174425</v>
      </c>
    </row>
    <row r="1541" spans="1:8" ht="12.75">
      <c r="A1541" t="s">
        <v>1</v>
      </c>
      <c r="B1541" s="4">
        <f>14/330.9</f>
        <v>0.042308854638863705</v>
      </c>
      <c r="D1541" t="s">
        <v>7</v>
      </c>
      <c r="E1541" s="4">
        <f>0.3/371.6</f>
        <v>0.0008073196986006458</v>
      </c>
      <c r="G1541" t="s">
        <v>5</v>
      </c>
      <c r="H1541" s="4">
        <f>1/356.6</f>
        <v>0.002804262478968031</v>
      </c>
    </row>
    <row r="1542" spans="1:8" ht="12.75">
      <c r="A1542" t="s">
        <v>2</v>
      </c>
      <c r="B1542" s="4">
        <f>3.2/330.9</f>
        <v>0.009670595346025991</v>
      </c>
      <c r="D1542" t="s">
        <v>75</v>
      </c>
      <c r="E1542" s="4">
        <f>0.2/371.6</f>
        <v>0.0005382131324004305</v>
      </c>
      <c r="G1542" t="s">
        <v>11</v>
      </c>
      <c r="H1542" s="4">
        <f>0.4/356.6</f>
        <v>0.0011217049915872126</v>
      </c>
    </row>
    <row r="1543" spans="1:8" ht="13.5" thickBot="1">
      <c r="A1543" t="s">
        <v>6</v>
      </c>
      <c r="B1543" s="3">
        <f>1.1/330.9</f>
        <v>0.0033242671501964344</v>
      </c>
      <c r="D1543" t="s">
        <v>11</v>
      </c>
      <c r="E1543" s="3">
        <f>0.1/371.6</f>
        <v>0.00026910656620021526</v>
      </c>
      <c r="G1543" t="s">
        <v>7</v>
      </c>
      <c r="H1543" s="3">
        <f>0.2/356.6</f>
        <v>0.0005608524957936063</v>
      </c>
    </row>
    <row r="1544" spans="2:8" ht="12.75">
      <c r="B1544" s="1">
        <f>SUM(B1539:B1543)</f>
        <v>1</v>
      </c>
      <c r="E1544" s="1">
        <f>SUM(E1539:E1543)</f>
        <v>0.9999999999999999</v>
      </c>
      <c r="H1544" s="1">
        <f>SUM(H1539:H1543)</f>
        <v>1</v>
      </c>
    </row>
    <row r="1546" spans="1:8" ht="12.75">
      <c r="A1546" s="22">
        <v>691</v>
      </c>
      <c r="B1546" s="22"/>
      <c r="D1546" s="22">
        <v>699</v>
      </c>
      <c r="E1546" s="22"/>
      <c r="G1546" s="22">
        <v>707</v>
      </c>
      <c r="H1546" s="22"/>
    </row>
    <row r="1547" spans="1:8" ht="12.75">
      <c r="A1547" t="s">
        <v>3</v>
      </c>
      <c r="B1547" s="4">
        <f>275/366.4</f>
        <v>0.7505458515283844</v>
      </c>
      <c r="D1547" t="s">
        <v>3</v>
      </c>
      <c r="E1547" s="4">
        <f>275/370.4</f>
        <v>0.7424406047516199</v>
      </c>
      <c r="G1547" t="s">
        <v>3</v>
      </c>
      <c r="H1547" s="4">
        <f>275/368.4</f>
        <v>0.746471226927253</v>
      </c>
    </row>
    <row r="1548" spans="1:8" ht="12.75">
      <c r="A1548" t="s">
        <v>1</v>
      </c>
      <c r="B1548" s="4">
        <f>88/366.4</f>
        <v>0.24017467248908297</v>
      </c>
      <c r="D1548" t="s">
        <v>1</v>
      </c>
      <c r="E1548" s="4">
        <f>94/370.4</f>
        <v>0.25377969762419006</v>
      </c>
      <c r="G1548" t="s">
        <v>1</v>
      </c>
      <c r="H1548" s="4">
        <f>90/368.4</f>
        <v>0.244299674267101</v>
      </c>
    </row>
    <row r="1549" spans="1:8" ht="12.75">
      <c r="A1549" t="s">
        <v>5</v>
      </c>
      <c r="B1549" s="4">
        <f>2.6/366.4</f>
        <v>0.007096069868995634</v>
      </c>
      <c r="D1549" t="s">
        <v>7</v>
      </c>
      <c r="E1549" s="4">
        <f>0.7/370.4</f>
        <v>0.0018898488120950325</v>
      </c>
      <c r="G1549" t="s">
        <v>7</v>
      </c>
      <c r="H1549" s="4">
        <f>1.4/368.4</f>
        <v>0.003800217155266015</v>
      </c>
    </row>
    <row r="1550" spans="1:8" ht="12.75">
      <c r="A1550" t="s">
        <v>11</v>
      </c>
      <c r="B1550" s="4">
        <f>0.6/366.4</f>
        <v>0.0016375545851528386</v>
      </c>
      <c r="D1550" t="s">
        <v>75</v>
      </c>
      <c r="E1550" s="4">
        <f>0.4/370.4</f>
        <v>0.0010799136069114472</v>
      </c>
      <c r="G1550" t="s">
        <v>11</v>
      </c>
      <c r="H1550" s="4">
        <f>1/368.4</f>
        <v>0.002714440825190011</v>
      </c>
    </row>
    <row r="1551" spans="1:8" ht="13.5" thickBot="1">
      <c r="A1551" t="s">
        <v>75</v>
      </c>
      <c r="B1551" s="3">
        <f>0.2/366.4</f>
        <v>0.0005458515283842796</v>
      </c>
      <c r="D1551" t="s">
        <v>11</v>
      </c>
      <c r="E1551" s="3">
        <f>0.3/370.4</f>
        <v>0.0008099352051835853</v>
      </c>
      <c r="G1551" t="s">
        <v>5</v>
      </c>
      <c r="H1551" s="3">
        <f>1/368.4</f>
        <v>0.002714440825190011</v>
      </c>
    </row>
    <row r="1552" spans="2:8" ht="12.75">
      <c r="B1552" s="1">
        <f>SUM(B1547:B1551)</f>
        <v>1</v>
      </c>
      <c r="E1552" s="1">
        <f>SUM(E1547:E1551)</f>
        <v>1</v>
      </c>
      <c r="H1552" s="1">
        <f>SUM(H1547:H1551)</f>
        <v>1</v>
      </c>
    </row>
    <row r="1553" ht="12" customHeight="1"/>
    <row r="1554" spans="1:8" ht="12.75">
      <c r="A1554" s="22">
        <v>692</v>
      </c>
      <c r="B1554" s="22"/>
      <c r="D1554" s="22">
        <v>700</v>
      </c>
      <c r="E1554" s="22"/>
      <c r="G1554" s="22">
        <v>708</v>
      </c>
      <c r="H1554" s="22"/>
    </row>
    <row r="1555" spans="1:8" ht="12.75">
      <c r="A1555" t="s">
        <v>3</v>
      </c>
      <c r="B1555" s="4">
        <f>275/381.8</f>
        <v>0.7202723939235202</v>
      </c>
      <c r="D1555" t="s">
        <v>3</v>
      </c>
      <c r="E1555" s="4">
        <f>275/371.9</f>
        <v>0.7394460876579726</v>
      </c>
      <c r="G1555" t="s">
        <v>3</v>
      </c>
      <c r="H1555" s="4">
        <f>275/370.4</f>
        <v>0.7424406047516199</v>
      </c>
    </row>
    <row r="1556" spans="1:8" ht="12" customHeight="1">
      <c r="A1556" t="s">
        <v>1</v>
      </c>
      <c r="B1556" s="4">
        <f>94/381.8</f>
        <v>0.2462022001047669</v>
      </c>
      <c r="D1556" t="s">
        <v>1</v>
      </c>
      <c r="E1556" s="4">
        <f>94/371.9</f>
        <v>0.2527561172358161</v>
      </c>
      <c r="G1556" t="s">
        <v>1</v>
      </c>
      <c r="H1556" s="4">
        <f>90/370.4</f>
        <v>0.2429805615550756</v>
      </c>
    </row>
    <row r="1557" spans="1:8" ht="12.75">
      <c r="A1557" t="s">
        <v>5</v>
      </c>
      <c r="B1557" s="4">
        <f>11/381.8</f>
        <v>0.028810895756940805</v>
      </c>
      <c r="D1557" t="s">
        <v>7</v>
      </c>
      <c r="E1557" s="4">
        <f>1.6/371.9</f>
        <v>0.004302231782737295</v>
      </c>
      <c r="G1557" t="s">
        <v>7</v>
      </c>
      <c r="H1557" s="4">
        <f>2.8/370.4</f>
        <v>0.00755939524838013</v>
      </c>
    </row>
    <row r="1558" spans="1:8" ht="13.5" thickBot="1">
      <c r="A1558" t="s">
        <v>11</v>
      </c>
      <c r="B1558" s="4">
        <f>1.6/381.8</f>
        <v>0.0041906757464641176</v>
      </c>
      <c r="D1558" t="s">
        <v>11</v>
      </c>
      <c r="E1558" s="4">
        <f>0.8/371.9</f>
        <v>0.0021511158913686476</v>
      </c>
      <c r="G1558" t="s">
        <v>11</v>
      </c>
      <c r="H1558" s="3">
        <f>2.6/370.4</f>
        <v>0.007019438444924407</v>
      </c>
    </row>
    <row r="1559" spans="1:8" ht="12" customHeight="1" thickBot="1">
      <c r="A1559" t="s">
        <v>75</v>
      </c>
      <c r="B1559" s="3">
        <f>0.2/381.8</f>
        <v>0.0005238344683080147</v>
      </c>
      <c r="D1559" t="s">
        <v>75</v>
      </c>
      <c r="E1559" s="3">
        <f>0.5/371.9</f>
        <v>0.0013444474321054048</v>
      </c>
      <c r="H1559" s="1">
        <f>SUM(H1555:H1558)</f>
        <v>1</v>
      </c>
    </row>
    <row r="1560" spans="2:5" ht="12.75">
      <c r="B1560" s="1">
        <f>SUM(B1555:B1559)</f>
        <v>1</v>
      </c>
      <c r="E1560" s="1">
        <f>SUM(E1555:E1559)</f>
        <v>0.9999999999999999</v>
      </c>
    </row>
    <row r="1561" spans="5:8" ht="12.75">
      <c r="E1561" s="1"/>
      <c r="G1561" s="22">
        <v>709</v>
      </c>
      <c r="H1561" s="22"/>
    </row>
    <row r="1562" spans="1:8" ht="12.75">
      <c r="A1562" s="22">
        <v>693</v>
      </c>
      <c r="B1562" s="22"/>
      <c r="D1562" s="22">
        <v>701</v>
      </c>
      <c r="E1562" s="22"/>
      <c r="G1562" t="s">
        <v>3</v>
      </c>
      <c r="H1562" s="4">
        <f>275/360.2</f>
        <v>0.7634647418101055</v>
      </c>
    </row>
    <row r="1563" spans="1:8" ht="12.75">
      <c r="A1563" t="s">
        <v>3</v>
      </c>
      <c r="B1563" s="4">
        <f>275/367</f>
        <v>0.7493188010899182</v>
      </c>
      <c r="D1563" t="s">
        <v>3</v>
      </c>
      <c r="E1563" s="4">
        <f>275/366.7</f>
        <v>0.7499318243796019</v>
      </c>
      <c r="G1563" t="s">
        <v>1</v>
      </c>
      <c r="H1563" s="4">
        <f>64/360.2</f>
        <v>0.1776790671848973</v>
      </c>
    </row>
    <row r="1564" spans="1:8" ht="12.75">
      <c r="A1564" t="s">
        <v>1</v>
      </c>
      <c r="B1564" s="4">
        <f>88/367</f>
        <v>0.23978201634877383</v>
      </c>
      <c r="D1564" t="s">
        <v>1</v>
      </c>
      <c r="E1564" s="4">
        <f>84/366.7</f>
        <v>0.2290700845377693</v>
      </c>
      <c r="G1564" t="s">
        <v>7</v>
      </c>
      <c r="H1564" s="4">
        <f>9/360.2</f>
        <v>0.024986118822876182</v>
      </c>
    </row>
    <row r="1565" spans="1:8" ht="12.75">
      <c r="A1565" t="s">
        <v>11</v>
      </c>
      <c r="B1565" s="4">
        <f>2.8/367</f>
        <v>0.007629427792915531</v>
      </c>
      <c r="D1565" t="s">
        <v>7</v>
      </c>
      <c r="E1565" s="4">
        <f>4.2/366.7</f>
        <v>0.011453504226888466</v>
      </c>
      <c r="G1565" t="s">
        <v>11</v>
      </c>
      <c r="H1565" s="4">
        <f>7/360.2</f>
        <v>0.01943364797334814</v>
      </c>
    </row>
    <row r="1566" spans="1:8" ht="13.5" thickBot="1">
      <c r="A1566" t="s">
        <v>2</v>
      </c>
      <c r="B1566" s="4">
        <f>1/367</f>
        <v>0.0027247956403269754</v>
      </c>
      <c r="D1566" t="s">
        <v>11</v>
      </c>
      <c r="E1566" s="4">
        <f>3.4/366.7</f>
        <v>0.009271884374147804</v>
      </c>
      <c r="G1566" t="s">
        <v>15</v>
      </c>
      <c r="H1566" s="3">
        <f>5.2/360.2</f>
        <v>0.014436424208772905</v>
      </c>
    </row>
    <row r="1567" spans="1:8" ht="12.75" customHeight="1" thickBot="1">
      <c r="A1567" t="s">
        <v>6</v>
      </c>
      <c r="B1567" s="3">
        <f>0.2/367</f>
        <v>0.0005449591280653951</v>
      </c>
      <c r="D1567" t="s">
        <v>6</v>
      </c>
      <c r="E1567" s="3">
        <f>0.1/366.7</f>
        <v>0.00027270248159258254</v>
      </c>
      <c r="H1567" s="1">
        <f>SUM(H1562:H1566)</f>
        <v>1</v>
      </c>
    </row>
    <row r="1568" spans="2:5" ht="11.25" customHeight="1">
      <c r="B1568" s="1">
        <f>SUM(B1563:B1567)</f>
        <v>1</v>
      </c>
      <c r="E1568" s="1">
        <f>SUM(E1563:E1567)</f>
        <v>1.0000000000000002</v>
      </c>
    </row>
    <row r="1569" spans="1:8" ht="12.75">
      <c r="A1569" s="22">
        <v>710</v>
      </c>
      <c r="B1569" s="22"/>
      <c r="D1569" s="22">
        <v>718</v>
      </c>
      <c r="E1569" s="22"/>
      <c r="G1569" s="22">
        <v>726</v>
      </c>
      <c r="H1569" s="22"/>
    </row>
    <row r="1570" spans="1:8" ht="12.75">
      <c r="A1570" t="s">
        <v>3</v>
      </c>
      <c r="B1570" s="4">
        <f>275/357.8</f>
        <v>0.7685858021240917</v>
      </c>
      <c r="D1570" t="s">
        <v>3</v>
      </c>
      <c r="E1570" s="4">
        <f>275/323.2</f>
        <v>0.8508663366336634</v>
      </c>
      <c r="G1570" t="s">
        <v>3</v>
      </c>
      <c r="H1570" s="4">
        <f>275/372.3</f>
        <v>0.7386516250335751</v>
      </c>
    </row>
    <row r="1571" spans="1:8" ht="12.75">
      <c r="A1571" t="s">
        <v>15</v>
      </c>
      <c r="B1571" s="4">
        <f>31.8/357.8</f>
        <v>0.0888764673001677</v>
      </c>
      <c r="D1571" t="s">
        <v>2</v>
      </c>
      <c r="E1571" s="4">
        <f>35/323.2</f>
        <v>0.10829207920792079</v>
      </c>
      <c r="G1571" t="s">
        <v>1</v>
      </c>
      <c r="H1571" s="4">
        <f>90/372.3</f>
        <v>0.24174053182917002</v>
      </c>
    </row>
    <row r="1572" spans="1:8" ht="12.75">
      <c r="A1572" t="s">
        <v>1</v>
      </c>
      <c r="B1572" s="4">
        <f>25/357.8</f>
        <v>0.06987143655673561</v>
      </c>
      <c r="D1572" t="s">
        <v>7</v>
      </c>
      <c r="E1572" s="4">
        <f>8/323.2</f>
        <v>0.024752475247524754</v>
      </c>
      <c r="G1572" t="s">
        <v>5</v>
      </c>
      <c r="H1572" s="4">
        <f>6.8/372.3</f>
        <v>0.0182648401826484</v>
      </c>
    </row>
    <row r="1573" spans="1:8" ht="12.75">
      <c r="A1573" t="s">
        <v>7</v>
      </c>
      <c r="B1573" s="4">
        <f>14.8/357.8</f>
        <v>0.04136389044158748</v>
      </c>
      <c r="D1573" t="s">
        <v>1</v>
      </c>
      <c r="E1573" s="4">
        <f>5/323.2</f>
        <v>0.01547029702970297</v>
      </c>
      <c r="G1573" t="s">
        <v>7</v>
      </c>
      <c r="H1573" s="4">
        <f>0.4/372.3</f>
        <v>0.0010744023636852001</v>
      </c>
    </row>
    <row r="1574" spans="1:8" ht="13.5" thickBot="1">
      <c r="A1574" t="s">
        <v>11</v>
      </c>
      <c r="B1574" s="3">
        <f>11.2/357.8</f>
        <v>0.03130240357741755</v>
      </c>
      <c r="D1574" t="s">
        <v>6</v>
      </c>
      <c r="E1574" s="3">
        <f>0.2/323.2</f>
        <v>0.0006188118811881188</v>
      </c>
      <c r="G1574" t="s">
        <v>6</v>
      </c>
      <c r="H1574" s="3">
        <f>0.1/372.3</f>
        <v>0.00026860059092130003</v>
      </c>
    </row>
    <row r="1575" spans="2:8" ht="12.75">
      <c r="B1575" s="1">
        <f>SUM(B1570:B1574)</f>
        <v>1</v>
      </c>
      <c r="E1575" s="1">
        <f>SUM(E1570:E1574)</f>
        <v>1</v>
      </c>
      <c r="H1575" s="1">
        <f>SUM(H1570:H1574)</f>
        <v>0.9999999999999999</v>
      </c>
    </row>
    <row r="1577" spans="1:8" ht="12.75">
      <c r="A1577" s="22">
        <v>711</v>
      </c>
      <c r="B1577" s="22"/>
      <c r="D1577" s="22">
        <v>719</v>
      </c>
      <c r="E1577" s="22"/>
      <c r="G1577" s="22">
        <v>727</v>
      </c>
      <c r="H1577" s="22"/>
    </row>
    <row r="1578" spans="1:8" ht="12.75">
      <c r="A1578" t="s">
        <v>3</v>
      </c>
      <c r="B1578" s="4">
        <f>275/340.8</f>
        <v>0.806924882629108</v>
      </c>
      <c r="D1578" t="s">
        <v>3</v>
      </c>
      <c r="E1578" s="4">
        <f>275/360.8</f>
        <v>0.7621951219512195</v>
      </c>
      <c r="G1578" t="s">
        <v>3</v>
      </c>
      <c r="H1578" s="4">
        <f>275/368.6</f>
        <v>0.7460661964188822</v>
      </c>
    </row>
    <row r="1579" spans="1:8" ht="12.75">
      <c r="A1579" t="s">
        <v>7</v>
      </c>
      <c r="B1579" s="4">
        <f>24/340.8</f>
        <v>0.07042253521126761</v>
      </c>
      <c r="D1579" t="s">
        <v>1</v>
      </c>
      <c r="E1579" s="4">
        <f>80/360.8</f>
        <v>0.22172949002217293</v>
      </c>
      <c r="G1579" t="s">
        <v>1</v>
      </c>
      <c r="H1579" s="4">
        <f>76/368.6</f>
        <v>0.20618556701030927</v>
      </c>
    </row>
    <row r="1580" spans="1:8" ht="12.75">
      <c r="A1580" t="s">
        <v>1</v>
      </c>
      <c r="B1580" s="4">
        <f>20/340.8</f>
        <v>0.05868544600938967</v>
      </c>
      <c r="D1580" t="s">
        <v>5</v>
      </c>
      <c r="E1580" s="4">
        <f>5/360.8</f>
        <v>0.013858093126385808</v>
      </c>
      <c r="G1580" t="s">
        <v>5</v>
      </c>
      <c r="H1580" s="4">
        <f>16.4/368.6</f>
        <v>0.04449267498643515</v>
      </c>
    </row>
    <row r="1581" spans="1:8" ht="12.75">
      <c r="A1581" t="s">
        <v>11</v>
      </c>
      <c r="B1581" s="4">
        <f>15/340.8</f>
        <v>0.04401408450704225</v>
      </c>
      <c r="D1581" t="s">
        <v>75</v>
      </c>
      <c r="E1581" s="4">
        <f>0.4/360.8</f>
        <v>0.0011086474501108647</v>
      </c>
      <c r="G1581" t="s">
        <v>7</v>
      </c>
      <c r="H1581" s="4">
        <f>1/368.6</f>
        <v>0.0027129679869777536</v>
      </c>
    </row>
    <row r="1582" spans="1:8" ht="13.5" thickBot="1">
      <c r="A1582" t="s">
        <v>15</v>
      </c>
      <c r="B1582" s="3">
        <f>6.8/340.8</f>
        <v>0.01995305164319249</v>
      </c>
      <c r="D1582" t="s">
        <v>7</v>
      </c>
      <c r="E1582" s="3">
        <f>0.4/360.8</f>
        <v>0.0011086474501108647</v>
      </c>
      <c r="G1582" t="s">
        <v>6</v>
      </c>
      <c r="H1582" s="3">
        <f>0.2/368.6</f>
        <v>0.0005425935973955507</v>
      </c>
    </row>
    <row r="1583" spans="2:8" ht="12.75">
      <c r="B1583" s="1">
        <f>SUM(B1578:B1582)</f>
        <v>1</v>
      </c>
      <c r="E1583" s="1">
        <f>SUM(E1578:E1582)</f>
        <v>1</v>
      </c>
      <c r="H1583" s="1">
        <f>SUM(H1578:H1582)</f>
        <v>0.9999999999999998</v>
      </c>
    </row>
    <row r="1585" spans="1:8" ht="12.75">
      <c r="A1585" s="22">
        <v>712</v>
      </c>
      <c r="B1585" s="22"/>
      <c r="D1585" s="22">
        <v>720</v>
      </c>
      <c r="E1585" s="22"/>
      <c r="G1585" s="22">
        <v>728</v>
      </c>
      <c r="H1585" s="22"/>
    </row>
    <row r="1586" spans="1:8" ht="12.75">
      <c r="A1586" t="s">
        <v>3</v>
      </c>
      <c r="B1586" s="4">
        <f>275/373.6</f>
        <v>0.7360813704496788</v>
      </c>
      <c r="D1586" t="s">
        <v>3</v>
      </c>
      <c r="E1586" s="4">
        <f>275/344.7</f>
        <v>0.7977951842181608</v>
      </c>
      <c r="G1586" t="s">
        <v>3</v>
      </c>
      <c r="H1586" s="4">
        <f>275/375.2</f>
        <v>0.7329424307036247</v>
      </c>
    </row>
    <row r="1587" spans="1:8" ht="12.75">
      <c r="A1587" t="s">
        <v>1</v>
      </c>
      <c r="B1587" s="4">
        <f>90/373.6</f>
        <v>0.24089935760171305</v>
      </c>
      <c r="D1587" t="s">
        <v>1</v>
      </c>
      <c r="E1587" s="4">
        <f>60/344.7</f>
        <v>0.1740644038294169</v>
      </c>
      <c r="G1587" t="s">
        <v>1</v>
      </c>
      <c r="H1587" s="4">
        <f>95/375.2</f>
        <v>0.2531982942430704</v>
      </c>
    </row>
    <row r="1588" spans="1:8" ht="12.75">
      <c r="A1588" t="s">
        <v>5</v>
      </c>
      <c r="B1588" s="4">
        <f>8/373.6</f>
        <v>0.021413276231263382</v>
      </c>
      <c r="D1588" t="s">
        <v>5</v>
      </c>
      <c r="E1588" s="4">
        <f>9/344.7</f>
        <v>0.026109660574412535</v>
      </c>
      <c r="G1588" t="s">
        <v>2</v>
      </c>
      <c r="H1588" s="4">
        <f>3/375.2</f>
        <v>0.007995735607675906</v>
      </c>
    </row>
    <row r="1589" spans="1:8" ht="12.75">
      <c r="A1589" t="s">
        <v>7</v>
      </c>
      <c r="B1589" s="4">
        <f>0.5/373.6</f>
        <v>0.0013383297644539614</v>
      </c>
      <c r="D1589" t="s">
        <v>7</v>
      </c>
      <c r="E1589" s="4">
        <f>0.6/344.7</f>
        <v>0.0017406440382941688</v>
      </c>
      <c r="G1589" t="s">
        <v>7</v>
      </c>
      <c r="H1589" s="4">
        <f>1.6/375.2</f>
        <v>0.004264392324093817</v>
      </c>
    </row>
    <row r="1590" spans="1:8" ht="13.5" thickBot="1">
      <c r="A1590" t="s">
        <v>10</v>
      </c>
      <c r="B1590" s="3">
        <f>0.1/373.6</f>
        <v>0.0002676659528907923</v>
      </c>
      <c r="D1590" t="s">
        <v>6</v>
      </c>
      <c r="E1590" s="3">
        <f>0.1/344.7</f>
        <v>0.0002901073397156948</v>
      </c>
      <c r="G1590" t="s">
        <v>6</v>
      </c>
      <c r="H1590" s="3">
        <f>0.6/375.2</f>
        <v>0.0015991471215351812</v>
      </c>
    </row>
    <row r="1591" spans="2:8" ht="12.75">
      <c r="B1591" s="1">
        <f>SUM(B1586:B1590)</f>
        <v>0.9999999999999999</v>
      </c>
      <c r="E1591" s="1">
        <f>SUM(E1586:E1590)</f>
        <v>1.0000000000000002</v>
      </c>
      <c r="H1591" s="1">
        <f>SUM(H1586:H1590)</f>
        <v>1</v>
      </c>
    </row>
    <row r="1593" spans="1:8" ht="12.75">
      <c r="A1593" s="22">
        <v>713</v>
      </c>
      <c r="B1593" s="22"/>
      <c r="D1593" s="22">
        <v>721</v>
      </c>
      <c r="E1593" s="22"/>
      <c r="G1593" s="22">
        <v>729</v>
      </c>
      <c r="H1593" s="22"/>
    </row>
    <row r="1594" spans="1:8" ht="12.75">
      <c r="A1594" t="s">
        <v>3</v>
      </c>
      <c r="B1594" s="4">
        <f>275/371.6</f>
        <v>0.740043057050592</v>
      </c>
      <c r="D1594" t="s">
        <v>3</v>
      </c>
      <c r="E1594" s="4">
        <f>275/361.8</f>
        <v>0.7600884466556108</v>
      </c>
      <c r="G1594" t="s">
        <v>3</v>
      </c>
      <c r="H1594" s="4">
        <f>275/365.2</f>
        <v>0.7530120481927711</v>
      </c>
    </row>
    <row r="1595" spans="1:8" ht="12.75">
      <c r="A1595" t="s">
        <v>1</v>
      </c>
      <c r="B1595" s="4">
        <f>84/371.6</f>
        <v>0.22604951560818082</v>
      </c>
      <c r="D1595" t="s">
        <v>1</v>
      </c>
      <c r="E1595" s="4">
        <f>70/361.8</f>
        <v>0.19347705914870095</v>
      </c>
      <c r="G1595" t="s">
        <v>1</v>
      </c>
      <c r="H1595" s="4">
        <f>78/365.2</f>
        <v>0.2135815991237678</v>
      </c>
    </row>
    <row r="1596" spans="1:8" ht="12.75">
      <c r="A1596" t="s">
        <v>5</v>
      </c>
      <c r="B1596" s="4">
        <f>12/371.6</f>
        <v>0.03229278794402583</v>
      </c>
      <c r="D1596" t="s">
        <v>2</v>
      </c>
      <c r="E1596" s="4">
        <f>12/361.8</f>
        <v>0.03316749585406302</v>
      </c>
      <c r="G1596" t="s">
        <v>2</v>
      </c>
      <c r="H1596" s="4">
        <f>8/365.2</f>
        <v>0.02190580503833516</v>
      </c>
    </row>
    <row r="1597" spans="1:8" ht="13.5" thickBot="1">
      <c r="A1597" t="s">
        <v>7</v>
      </c>
      <c r="B1597" s="3">
        <f>0.6/371.6</f>
        <v>0.0016146393972012916</v>
      </c>
      <c r="D1597" t="s">
        <v>7</v>
      </c>
      <c r="E1597" s="4">
        <f>4.2/361.8</f>
        <v>0.011608623548922057</v>
      </c>
      <c r="G1597" t="s">
        <v>7</v>
      </c>
      <c r="H1597" s="4">
        <f>3.3/365.2</f>
        <v>0.009036144578313253</v>
      </c>
    </row>
    <row r="1598" spans="2:8" ht="13.5" thickBot="1">
      <c r="B1598" s="1">
        <f>SUM(B1594:B1597)</f>
        <v>0.9999999999999999</v>
      </c>
      <c r="D1598" t="s">
        <v>6</v>
      </c>
      <c r="E1598" s="3">
        <f>0.6/361.8</f>
        <v>0.0016583747927031507</v>
      </c>
      <c r="G1598" t="s">
        <v>6</v>
      </c>
      <c r="H1598" s="3">
        <f>0.9/365.2</f>
        <v>0.0024644030668127055</v>
      </c>
    </row>
    <row r="1599" spans="5:8" ht="12.75">
      <c r="E1599" s="1">
        <f>SUM(E1594:E1598)</f>
        <v>0.9999999999999999</v>
      </c>
      <c r="H1599" s="1">
        <f>SUM(H1594:H1598)</f>
        <v>1</v>
      </c>
    </row>
    <row r="1600" spans="1:2" ht="12.75">
      <c r="A1600" s="22">
        <v>714</v>
      </c>
      <c r="B1600" s="22"/>
    </row>
    <row r="1601" spans="1:8" ht="12.75">
      <c r="A1601" t="s">
        <v>3</v>
      </c>
      <c r="B1601" s="4">
        <f>275/357.9</f>
        <v>0.7683710533668623</v>
      </c>
      <c r="D1601" s="22">
        <v>722</v>
      </c>
      <c r="E1601" s="22"/>
      <c r="G1601" s="22">
        <v>730</v>
      </c>
      <c r="H1601" s="22"/>
    </row>
    <row r="1602" spans="1:8" ht="12.75">
      <c r="A1602" t="s">
        <v>1</v>
      </c>
      <c r="B1602" s="4">
        <f>80/357.9</f>
        <v>0.22352612461581448</v>
      </c>
      <c r="D1602" t="s">
        <v>3</v>
      </c>
      <c r="E1602" s="4">
        <f>275/361.8</f>
        <v>0.7600884466556108</v>
      </c>
      <c r="G1602" t="s">
        <v>3</v>
      </c>
      <c r="H1602" s="4">
        <f>275/356</f>
        <v>0.7724719101123596</v>
      </c>
    </row>
    <row r="1603" spans="1:8" ht="12.75">
      <c r="A1603" t="s">
        <v>2</v>
      </c>
      <c r="B1603" s="4">
        <f>2.8/357.9</f>
        <v>0.007823414361553507</v>
      </c>
      <c r="D1603" t="s">
        <v>1</v>
      </c>
      <c r="E1603" s="4">
        <f>70/361.8</f>
        <v>0.19347705914870095</v>
      </c>
      <c r="G1603" t="s">
        <v>1</v>
      </c>
      <c r="H1603" s="4">
        <f>57/356</f>
        <v>0.1601123595505618</v>
      </c>
    </row>
    <row r="1604" spans="1:8" ht="12.75" customHeight="1" thickBot="1">
      <c r="A1604" t="s">
        <v>7</v>
      </c>
      <c r="B1604" s="3">
        <f>0.1/357.9</f>
        <v>0.00027940765576976815</v>
      </c>
      <c r="D1604" t="s">
        <v>2</v>
      </c>
      <c r="E1604" s="4">
        <f>12/361.8</f>
        <v>0.03316749585406302</v>
      </c>
      <c r="G1604" t="s">
        <v>2</v>
      </c>
      <c r="H1604" s="4">
        <f>15.8/356</f>
        <v>0.044382022471910115</v>
      </c>
    </row>
    <row r="1605" spans="2:8" ht="12.75">
      <c r="B1605" s="1">
        <f>SUM(B1601:B1604)</f>
        <v>1</v>
      </c>
      <c r="D1605" t="s">
        <v>7</v>
      </c>
      <c r="E1605" s="4">
        <f>4.2/361.8</f>
        <v>0.011608623548922057</v>
      </c>
      <c r="G1605" t="s">
        <v>7</v>
      </c>
      <c r="H1605" s="4">
        <f>6.6/356</f>
        <v>0.018539325842696627</v>
      </c>
    </row>
    <row r="1606" spans="4:8" ht="12" customHeight="1" thickBot="1">
      <c r="D1606" t="s">
        <v>6</v>
      </c>
      <c r="E1606" s="3">
        <f>0.6/361.8</f>
        <v>0.0016583747927031507</v>
      </c>
      <c r="G1606" t="s">
        <v>6</v>
      </c>
      <c r="H1606" s="3">
        <f>1.6/356</f>
        <v>0.0044943820224719105</v>
      </c>
    </row>
    <row r="1607" spans="1:8" ht="12.75">
      <c r="A1607" s="22">
        <v>715</v>
      </c>
      <c r="B1607" s="22"/>
      <c r="E1607" s="1">
        <f>SUM(E1602:E1606)</f>
        <v>0.9999999999999999</v>
      </c>
      <c r="H1607" s="4">
        <f>SUM(H1602:H1606)</f>
        <v>1</v>
      </c>
    </row>
    <row r="1608" spans="1:2" ht="12.75">
      <c r="A1608" t="s">
        <v>3</v>
      </c>
      <c r="B1608" s="4">
        <f>275/358.4</f>
        <v>0.7672991071428572</v>
      </c>
    </row>
    <row r="1609" spans="1:8" ht="12.75">
      <c r="A1609" t="s">
        <v>1</v>
      </c>
      <c r="B1609" s="4">
        <f>62/358.4</f>
        <v>0.17299107142857145</v>
      </c>
      <c r="D1609" s="22">
        <v>723</v>
      </c>
      <c r="E1609" s="22"/>
      <c r="G1609" s="22">
        <v>731</v>
      </c>
      <c r="H1609" s="22"/>
    </row>
    <row r="1610" spans="1:8" ht="12.75">
      <c r="A1610" t="s">
        <v>2</v>
      </c>
      <c r="B1610" s="4">
        <f>18/358.4</f>
        <v>0.05022321428571429</v>
      </c>
      <c r="D1610" t="s">
        <v>3</v>
      </c>
      <c r="E1610" s="4">
        <f>275/350.2</f>
        <v>0.7852655625356939</v>
      </c>
      <c r="G1610" t="s">
        <v>3</v>
      </c>
      <c r="H1610" s="4">
        <f>275/334.6</f>
        <v>0.8218768679019725</v>
      </c>
    </row>
    <row r="1611" spans="1:8" ht="12.75">
      <c r="A1611" t="s">
        <v>7</v>
      </c>
      <c r="B1611" s="4">
        <f>3/358.4</f>
        <v>0.008370535714285714</v>
      </c>
      <c r="D1611" t="s">
        <v>1</v>
      </c>
      <c r="E1611" s="4">
        <f>42/350.2</f>
        <v>0.11993146773272416</v>
      </c>
      <c r="G1611" t="s">
        <v>2</v>
      </c>
      <c r="H1611" s="4">
        <f>33/334.6</f>
        <v>0.0986252241482367</v>
      </c>
    </row>
    <row r="1612" spans="1:8" ht="12.75" customHeight="1" thickBot="1">
      <c r="A1612" t="s">
        <v>75</v>
      </c>
      <c r="B1612" s="3">
        <f>0.4/358.4</f>
        <v>0.0011160714285714287</v>
      </c>
      <c r="D1612" t="s">
        <v>2</v>
      </c>
      <c r="E1612" s="4">
        <f>24/350.2</f>
        <v>0.06853226727584238</v>
      </c>
      <c r="G1612" t="s">
        <v>7</v>
      </c>
      <c r="H1612" s="4">
        <f>19.6/334.6</f>
        <v>0.058577405857740586</v>
      </c>
    </row>
    <row r="1613" spans="2:8" ht="12.75">
      <c r="B1613" s="1">
        <f>SUM(B1608:B1612)</f>
        <v>1</v>
      </c>
      <c r="D1613" t="s">
        <v>7</v>
      </c>
      <c r="E1613" s="4">
        <f>8.2/350.2</f>
        <v>0.023415191319246145</v>
      </c>
      <c r="G1613" t="s">
        <v>1</v>
      </c>
      <c r="H1613" s="4">
        <f>4/334.6</f>
        <v>0.01195457262402869</v>
      </c>
    </row>
    <row r="1614" spans="4:8" ht="12.75" customHeight="1" thickBot="1">
      <c r="D1614" t="s">
        <v>6</v>
      </c>
      <c r="E1614" s="3">
        <f>1/350.2</f>
        <v>0.0028555111364934323</v>
      </c>
      <c r="G1614" t="s">
        <v>6</v>
      </c>
      <c r="H1614" s="3">
        <f>3/334.6</f>
        <v>0.008965929468021518</v>
      </c>
    </row>
    <row r="1615" spans="1:8" ht="12.75">
      <c r="A1615" s="22">
        <v>716</v>
      </c>
      <c r="B1615" s="22"/>
      <c r="E1615" s="1">
        <f>SUM(E1610:E1614)</f>
        <v>1</v>
      </c>
      <c r="H1615" s="4">
        <f>SUM(H1610:H1614)</f>
        <v>1</v>
      </c>
    </row>
    <row r="1616" spans="1:2" ht="12.75">
      <c r="A1616" t="s">
        <v>3</v>
      </c>
      <c r="B1616" s="4">
        <f>275/323.6</f>
        <v>0.849814585908529</v>
      </c>
    </row>
    <row r="1617" spans="1:8" ht="12.75">
      <c r="A1617" t="s">
        <v>2</v>
      </c>
      <c r="B1617" s="4">
        <f>40/323.6</f>
        <v>0.12360939431396785</v>
      </c>
      <c r="D1617" s="22">
        <v>724</v>
      </c>
      <c r="E1617" s="22"/>
      <c r="G1617" s="22">
        <v>732</v>
      </c>
      <c r="H1617" s="22"/>
    </row>
    <row r="1618" spans="1:8" ht="12.75">
      <c r="A1618" t="s">
        <v>1</v>
      </c>
      <c r="B1618" s="4">
        <f>6/323.6</f>
        <v>0.018541409147095178</v>
      </c>
      <c r="D1618" t="s">
        <v>3</v>
      </c>
      <c r="E1618" s="4">
        <f>275/332.2</f>
        <v>0.8278145695364238</v>
      </c>
      <c r="G1618" t="s">
        <v>3</v>
      </c>
      <c r="H1618" s="4">
        <f>275/332.4</f>
        <v>0.8273164861612515</v>
      </c>
    </row>
    <row r="1619" spans="1:8" ht="12.75">
      <c r="A1619" t="s">
        <v>7</v>
      </c>
      <c r="B1619" s="4">
        <f>2.4/323.6</f>
        <v>0.007416563658838071</v>
      </c>
      <c r="D1619" t="s">
        <v>2</v>
      </c>
      <c r="E1619" s="4">
        <f>40/332.2</f>
        <v>0.12040939193257075</v>
      </c>
      <c r="G1619" t="s">
        <v>7</v>
      </c>
      <c r="H1619" s="4">
        <f>26.4/332.4</f>
        <v>0.07942238267148015</v>
      </c>
    </row>
    <row r="1620" spans="1:8" ht="12.75" customHeight="1" thickBot="1">
      <c r="A1620" t="s">
        <v>75</v>
      </c>
      <c r="B1620" s="3">
        <f>0.2/323.6</f>
        <v>0.0006180469715698393</v>
      </c>
      <c r="D1620" t="s">
        <v>7</v>
      </c>
      <c r="E1620" s="4">
        <f>14/332.2</f>
        <v>0.04214328717639976</v>
      </c>
      <c r="G1620" t="s">
        <v>2</v>
      </c>
      <c r="H1620" s="4">
        <f>23/332.4</f>
        <v>0.06919374247894104</v>
      </c>
    </row>
    <row r="1621" spans="2:8" ht="12.75">
      <c r="B1621" s="1">
        <f>SUM(B1616:B1620)</f>
        <v>1</v>
      </c>
      <c r="D1621" t="s">
        <v>1</v>
      </c>
      <c r="E1621" s="4">
        <f>2/332.2</f>
        <v>0.006020469596628537</v>
      </c>
      <c r="G1621" t="s">
        <v>6</v>
      </c>
      <c r="H1621" s="4">
        <f>5/332.4</f>
        <v>0.015042117930204574</v>
      </c>
    </row>
    <row r="1622" spans="4:8" ht="13.5" thickBot="1">
      <c r="D1622" t="s">
        <v>6</v>
      </c>
      <c r="E1622" s="3">
        <f>1.2/332.2</f>
        <v>0.003612281757977122</v>
      </c>
      <c r="G1622" t="s">
        <v>1</v>
      </c>
      <c r="H1622" s="3">
        <f>3/332.4</f>
        <v>0.009025270758122744</v>
      </c>
    </row>
    <row r="1623" spans="1:8" ht="12.75">
      <c r="A1623" s="22">
        <v>717</v>
      </c>
      <c r="B1623" s="22"/>
      <c r="E1623" s="1">
        <f>SUM(E1618:E1622)</f>
        <v>0.9999999999999999</v>
      </c>
      <c r="H1623" s="4">
        <f>SUM(H1618:H1622)</f>
        <v>1</v>
      </c>
    </row>
    <row r="1624" spans="1:2" ht="12.75">
      <c r="A1624" t="s">
        <v>3</v>
      </c>
      <c r="B1624" s="4">
        <f>275/326.1</f>
        <v>0.8432996013492793</v>
      </c>
    </row>
    <row r="1625" spans="1:8" ht="12.75">
      <c r="A1625" t="s">
        <v>2</v>
      </c>
      <c r="B1625" s="4">
        <f>40/326.1</f>
        <v>0.12266176019625881</v>
      </c>
      <c r="D1625" s="22">
        <v>725</v>
      </c>
      <c r="E1625" s="22"/>
      <c r="G1625" s="22">
        <v>801</v>
      </c>
      <c r="H1625" s="22"/>
    </row>
    <row r="1626" spans="1:8" ht="12.75">
      <c r="A1626" t="s">
        <v>7</v>
      </c>
      <c r="B1626" s="4">
        <f>8/326.1</f>
        <v>0.024532352039251762</v>
      </c>
      <c r="D1626" t="s">
        <v>3</v>
      </c>
      <c r="E1626" s="4">
        <f>275/333.8</f>
        <v>0.8238466147393648</v>
      </c>
      <c r="G1626" t="s">
        <v>3</v>
      </c>
      <c r="H1626" s="4">
        <f>275/313.8</f>
        <v>0.8763543658381134</v>
      </c>
    </row>
    <row r="1627" spans="1:8" ht="12.75">
      <c r="A1627" t="s">
        <v>1</v>
      </c>
      <c r="B1627" s="4">
        <f>3/326.1</f>
        <v>0.00919963201471941</v>
      </c>
      <c r="D1627" t="s">
        <v>7</v>
      </c>
      <c r="E1627" s="4">
        <f>28/333.8</f>
        <v>0.08388256440982624</v>
      </c>
      <c r="G1627" t="s">
        <v>10</v>
      </c>
      <c r="H1627" s="4">
        <f>30/313.8</f>
        <v>0.09560229445506692</v>
      </c>
    </row>
    <row r="1628" spans="1:8" ht="12.75" customHeight="1" thickBot="1">
      <c r="A1628" t="s">
        <v>6</v>
      </c>
      <c r="B1628" s="3">
        <f>0.1/326.1</f>
        <v>0.00030665440049064706</v>
      </c>
      <c r="D1628" t="s">
        <v>2</v>
      </c>
      <c r="E1628" s="4">
        <f>25/333.8</f>
        <v>0.07489514679448772</v>
      </c>
      <c r="G1628" t="s">
        <v>1</v>
      </c>
      <c r="H1628" s="4">
        <f>8/313.8</f>
        <v>0.025493945188017845</v>
      </c>
    </row>
    <row r="1629" spans="2:8" ht="12.75" customHeight="1" thickBot="1">
      <c r="B1629" s="1">
        <f>SUM(B1624:B1628)</f>
        <v>0.9999999999999999</v>
      </c>
      <c r="D1629" t="s">
        <v>1</v>
      </c>
      <c r="E1629" s="4">
        <f>3/333.8</f>
        <v>0.008987417615338526</v>
      </c>
      <c r="G1629" t="s">
        <v>5</v>
      </c>
      <c r="H1629" s="3">
        <f>0.8/313.8</f>
        <v>0.0025493945188017845</v>
      </c>
    </row>
    <row r="1630" spans="4:8" ht="12" customHeight="1" thickBot="1">
      <c r="D1630" t="s">
        <v>6</v>
      </c>
      <c r="E1630" s="3">
        <f>2.8/333.8</f>
        <v>0.008388256440982624</v>
      </c>
      <c r="H1630" s="4">
        <f>SUM(H1626:H1629)</f>
        <v>1</v>
      </c>
    </row>
    <row r="1631" ht="11.25" customHeight="1">
      <c r="E1631" s="1">
        <f>SUM(E1626:E1630)</f>
        <v>0.9999999999999999</v>
      </c>
    </row>
    <row r="1632" spans="1:8" ht="12.75">
      <c r="A1632" s="22">
        <v>802</v>
      </c>
      <c r="B1632" s="22"/>
      <c r="D1632" s="22">
        <v>810</v>
      </c>
      <c r="E1632" s="22"/>
      <c r="G1632" s="22" t="s">
        <v>33</v>
      </c>
      <c r="H1632" s="22"/>
    </row>
    <row r="1633" spans="1:8" ht="12.75">
      <c r="A1633" t="s">
        <v>3</v>
      </c>
      <c r="B1633" s="4">
        <f>275/326.2</f>
        <v>0.8430410790925813</v>
      </c>
      <c r="D1633" s="7" t="s">
        <v>3</v>
      </c>
      <c r="E1633" s="8">
        <f>275/314.6</f>
        <v>0.8741258741258741</v>
      </c>
      <c r="G1633" s="7" t="s">
        <v>3</v>
      </c>
      <c r="H1633" s="8">
        <f>275/324.2</f>
        <v>0.8482418260333128</v>
      </c>
    </row>
    <row r="1634" spans="1:8" ht="12.75">
      <c r="A1634" t="s">
        <v>5</v>
      </c>
      <c r="B1634" s="4">
        <f>38/326.2</f>
        <v>0.11649294911097487</v>
      </c>
      <c r="D1634" s="7" t="s">
        <v>5</v>
      </c>
      <c r="E1634" s="8">
        <f>35/314.6</f>
        <v>0.1112523839796567</v>
      </c>
      <c r="G1634" t="s">
        <v>24</v>
      </c>
      <c r="H1634" s="8">
        <f>38/324.2</f>
        <v>0.11721159777914868</v>
      </c>
    </row>
    <row r="1635" spans="1:8" ht="12.75">
      <c r="A1635" t="s">
        <v>1</v>
      </c>
      <c r="B1635" s="4">
        <f>10/326.2</f>
        <v>0.030656039239730228</v>
      </c>
      <c r="D1635" s="7" t="s">
        <v>1</v>
      </c>
      <c r="E1635" s="8">
        <f>2/314.6</f>
        <v>0.006357279084551811</v>
      </c>
      <c r="G1635" t="s">
        <v>6</v>
      </c>
      <c r="H1635" s="8">
        <f>8.6/324.2</f>
        <v>0.02652683528685996</v>
      </c>
    </row>
    <row r="1636" spans="1:8" ht="13.5" thickBot="1">
      <c r="A1636" t="s">
        <v>2</v>
      </c>
      <c r="B1636" s="4">
        <f>2.4/326.2</f>
        <v>0.007357449417535254</v>
      </c>
      <c r="D1636" s="7" t="s">
        <v>2</v>
      </c>
      <c r="E1636" s="8">
        <f>1.4/314.6</f>
        <v>0.004450095359186268</v>
      </c>
      <c r="G1636" t="s">
        <v>1</v>
      </c>
      <c r="H1636" s="11">
        <f>2.6/324.2</f>
        <v>0.008019740900678593</v>
      </c>
    </row>
    <row r="1637" spans="1:8" ht="13.5" thickBot="1">
      <c r="A1637" t="s">
        <v>19</v>
      </c>
      <c r="B1637" s="3">
        <f>0.8/326.2</f>
        <v>0.0024524831391784184</v>
      </c>
      <c r="D1637" s="7" t="s">
        <v>15</v>
      </c>
      <c r="E1637" s="11">
        <f>1.2/314.6</f>
        <v>0.0038143674507310865</v>
      </c>
      <c r="H1637" s="8">
        <f>SUM(H1633:H1636)</f>
        <v>1</v>
      </c>
    </row>
    <row r="1638" spans="2:8" ht="12.75">
      <c r="B1638" s="1">
        <f>SUM(B1633:B1637)</f>
        <v>1</v>
      </c>
      <c r="E1638" s="1">
        <f>SUM(E1633:E1637)</f>
        <v>1</v>
      </c>
      <c r="H1638" s="1"/>
    </row>
    <row r="1639" spans="7:8" ht="12.75">
      <c r="G1639" s="22" t="s">
        <v>34</v>
      </c>
      <c r="H1639" s="22"/>
    </row>
    <row r="1640" spans="1:8" ht="12.75">
      <c r="A1640" s="22">
        <v>803</v>
      </c>
      <c r="B1640" s="22"/>
      <c r="D1640" s="22">
        <v>811</v>
      </c>
      <c r="E1640" s="22"/>
      <c r="G1640" s="7" t="s">
        <v>3</v>
      </c>
      <c r="H1640" s="8">
        <f>275/333</f>
        <v>0.8258258258258259</v>
      </c>
    </row>
    <row r="1641" spans="1:8" ht="12.75">
      <c r="A1641" t="s">
        <v>3</v>
      </c>
      <c r="B1641" s="4">
        <f>275/327.6</f>
        <v>0.8394383394383393</v>
      </c>
      <c r="D1641" s="7" t="s">
        <v>3</v>
      </c>
      <c r="E1641" s="8">
        <f>275/328</f>
        <v>0.8384146341463414</v>
      </c>
      <c r="G1641" t="s">
        <v>1</v>
      </c>
      <c r="H1641" s="8">
        <f>30/333</f>
        <v>0.09009009009009009</v>
      </c>
    </row>
    <row r="1642" spans="1:8" ht="12.75">
      <c r="A1642" t="s">
        <v>5</v>
      </c>
      <c r="B1642" s="4">
        <f>38/327.6</f>
        <v>0.11599511599511599</v>
      </c>
      <c r="D1642" s="7" t="s">
        <v>5</v>
      </c>
      <c r="E1642" s="8">
        <f>24/328</f>
        <v>0.07317073170731707</v>
      </c>
      <c r="G1642" t="s">
        <v>6</v>
      </c>
      <c r="H1642" s="8">
        <f>14/333</f>
        <v>0.042042042042042045</v>
      </c>
    </row>
    <row r="1643" spans="1:8" ht="12.75">
      <c r="A1643" t="s">
        <v>1</v>
      </c>
      <c r="B1643" s="4">
        <f>12/327.6</f>
        <v>0.036630036630036625</v>
      </c>
      <c r="D1643" s="7" t="s">
        <v>15</v>
      </c>
      <c r="E1643" s="8">
        <f>16/328</f>
        <v>0.04878048780487805</v>
      </c>
      <c r="G1643" t="s">
        <v>5</v>
      </c>
      <c r="H1643" s="8">
        <f>10/333</f>
        <v>0.03003003003003003</v>
      </c>
    </row>
    <row r="1644" spans="1:8" ht="13.5" thickBot="1">
      <c r="A1644" t="s">
        <v>2</v>
      </c>
      <c r="B1644" s="4">
        <f>2/327.6</f>
        <v>0.006105006105006105</v>
      </c>
      <c r="D1644" s="7" t="s">
        <v>1</v>
      </c>
      <c r="E1644" s="8">
        <f>8/328</f>
        <v>0.024390243902439025</v>
      </c>
      <c r="G1644" t="s">
        <v>7</v>
      </c>
      <c r="H1644" s="11">
        <f>4/333</f>
        <v>0.012012012012012012</v>
      </c>
    </row>
    <row r="1645" spans="1:8" ht="13.5" thickBot="1">
      <c r="A1645" t="s">
        <v>15</v>
      </c>
      <c r="B1645" s="3">
        <f>0.6/327.6</f>
        <v>0.0018315018315018313</v>
      </c>
      <c r="D1645" s="7" t="s">
        <v>2</v>
      </c>
      <c r="E1645" s="11">
        <f>5/328</f>
        <v>0.01524390243902439</v>
      </c>
      <c r="H1645" s="1">
        <f>SUM(H1640:H1644)</f>
        <v>1</v>
      </c>
    </row>
    <row r="1646" spans="2:5" ht="12.75">
      <c r="B1646" s="1">
        <f>SUM(B1641:B1645)</f>
        <v>0.9999999999999999</v>
      </c>
      <c r="E1646" s="1">
        <f>SUM(E1641:E1645)</f>
        <v>1</v>
      </c>
    </row>
    <row r="1647" spans="7:8" ht="12.75">
      <c r="G1647" s="22" t="s">
        <v>35</v>
      </c>
      <c r="H1647" s="22"/>
    </row>
    <row r="1648" spans="1:8" ht="12.75">
      <c r="A1648" s="22">
        <v>804</v>
      </c>
      <c r="B1648" s="22"/>
      <c r="D1648" s="22">
        <v>812</v>
      </c>
      <c r="E1648" s="22"/>
      <c r="G1648" s="7" t="s">
        <v>3</v>
      </c>
      <c r="H1648" s="8">
        <f>275/321.4</f>
        <v>0.8556316116988177</v>
      </c>
    </row>
    <row r="1649" spans="1:8" ht="12.75">
      <c r="A1649" t="s">
        <v>3</v>
      </c>
      <c r="B1649" s="4">
        <f>275/319</f>
        <v>0.8620689655172413</v>
      </c>
      <c r="D1649" s="7" t="s">
        <v>3</v>
      </c>
      <c r="E1649" s="8">
        <f>275/313</f>
        <v>0.8785942492012779</v>
      </c>
      <c r="G1649" t="s">
        <v>2</v>
      </c>
      <c r="H1649" s="8">
        <f>14/321.4</f>
        <v>0.043559427504667084</v>
      </c>
    </row>
    <row r="1650" spans="1:8" ht="12.75">
      <c r="A1650" t="s">
        <v>5</v>
      </c>
      <c r="B1650" s="4">
        <f>32/319</f>
        <v>0.10031347962382445</v>
      </c>
      <c r="D1650" s="7" t="s">
        <v>16</v>
      </c>
      <c r="E1650" s="8">
        <f>23.2/313</f>
        <v>0.07412140575079872</v>
      </c>
      <c r="G1650" t="s">
        <v>6</v>
      </c>
      <c r="H1650" s="8">
        <f>12.8/321.4</f>
        <v>0.03982576228998134</v>
      </c>
    </row>
    <row r="1651" spans="1:8" ht="12.75">
      <c r="A1651" t="s">
        <v>1</v>
      </c>
      <c r="B1651" s="4">
        <f>5/319</f>
        <v>0.01567398119122257</v>
      </c>
      <c r="D1651" s="7" t="s">
        <v>15</v>
      </c>
      <c r="E1651" s="8">
        <f>10/313</f>
        <v>0.03194888178913738</v>
      </c>
      <c r="G1651" t="s">
        <v>1</v>
      </c>
      <c r="H1651" s="8">
        <f>10/321.4</f>
        <v>0.031113876789047916</v>
      </c>
    </row>
    <row r="1652" spans="1:8" ht="13.5" thickBot="1">
      <c r="A1652" t="s">
        <v>15</v>
      </c>
      <c r="B1652" s="4">
        <f>5/319</f>
        <v>0.01567398119122257</v>
      </c>
      <c r="D1652" s="7" t="s">
        <v>1</v>
      </c>
      <c r="E1652" s="8">
        <f>4/313</f>
        <v>0.012779552715654952</v>
      </c>
      <c r="G1652" t="s">
        <v>11</v>
      </c>
      <c r="H1652" s="11">
        <f>9.6/321.4</f>
        <v>0.029869321717486</v>
      </c>
    </row>
    <row r="1653" spans="1:8" ht="13.5" thickBot="1">
      <c r="A1653" t="s">
        <v>2</v>
      </c>
      <c r="B1653" s="3">
        <f>2/319</f>
        <v>0.006269592476489028</v>
      </c>
      <c r="D1653" s="7" t="s">
        <v>74</v>
      </c>
      <c r="E1653" s="11">
        <f>0.8/313</f>
        <v>0.0025559105431309905</v>
      </c>
      <c r="H1653" s="1">
        <f>SUM(H1648:H1652)</f>
        <v>1</v>
      </c>
    </row>
    <row r="1654" spans="2:5" ht="12.75">
      <c r="B1654" s="1">
        <f>SUM(B1649:B1653)</f>
        <v>0.9999999999999999</v>
      </c>
      <c r="E1654" s="1">
        <f>SUM(E1649:E1653)</f>
        <v>1</v>
      </c>
    </row>
    <row r="1655" spans="7:8" ht="12.75">
      <c r="G1655" s="22" t="s">
        <v>36</v>
      </c>
      <c r="H1655" s="22"/>
    </row>
    <row r="1656" spans="1:8" ht="12.75">
      <c r="A1656" s="22">
        <v>805</v>
      </c>
      <c r="B1656" s="22"/>
      <c r="D1656" s="22">
        <v>813</v>
      </c>
      <c r="E1656" s="22"/>
      <c r="G1656" s="7" t="s">
        <v>3</v>
      </c>
      <c r="H1656" s="8">
        <f>275/361</f>
        <v>0.7617728531855956</v>
      </c>
    </row>
    <row r="1657" spans="1:8" ht="12.75">
      <c r="A1657" s="7" t="s">
        <v>3</v>
      </c>
      <c r="B1657" s="8">
        <f>275/337</f>
        <v>0.8160237388724035</v>
      </c>
      <c r="D1657" s="7" t="s">
        <v>3</v>
      </c>
      <c r="E1657" s="8">
        <f>275/318.6</f>
        <v>0.8631512868801003</v>
      </c>
      <c r="G1657" s="7" t="s">
        <v>75</v>
      </c>
      <c r="H1657" s="8">
        <f>40/361</f>
        <v>0.11080332409972299</v>
      </c>
    </row>
    <row r="1658" spans="1:8" ht="12.75">
      <c r="A1658" s="7" t="s">
        <v>15</v>
      </c>
      <c r="B1658" s="8">
        <f>38/337</f>
        <v>0.11275964391691394</v>
      </c>
      <c r="D1658" s="7" t="s">
        <v>16</v>
      </c>
      <c r="E1658" s="8">
        <f>25/318.6</f>
        <v>0.07846829880728186</v>
      </c>
      <c r="G1658" t="s">
        <v>20</v>
      </c>
      <c r="H1658" s="8">
        <f>38/361</f>
        <v>0.10526315789473684</v>
      </c>
    </row>
    <row r="1659" spans="1:8" ht="12.75">
      <c r="A1659" s="7" t="s">
        <v>1</v>
      </c>
      <c r="B1659" s="8">
        <f>20/337</f>
        <v>0.05934718100890208</v>
      </c>
      <c r="D1659" s="7" t="s">
        <v>20</v>
      </c>
      <c r="E1659" s="8">
        <f>12/318.6</f>
        <v>0.03766478342749529</v>
      </c>
      <c r="G1659" t="s">
        <v>24</v>
      </c>
      <c r="H1659" s="8">
        <f>6/361</f>
        <v>0.01662049861495845</v>
      </c>
    </row>
    <row r="1660" spans="1:8" ht="13.5" thickBot="1">
      <c r="A1660" s="7" t="s">
        <v>2</v>
      </c>
      <c r="B1660" s="8">
        <f>3.4/337</f>
        <v>0.010089020771513352</v>
      </c>
      <c r="D1660" s="7" t="s">
        <v>1</v>
      </c>
      <c r="E1660" s="8">
        <f>6/318.6</f>
        <v>0.018832391713747645</v>
      </c>
      <c r="G1660" t="s">
        <v>1</v>
      </c>
      <c r="H1660" s="11">
        <f>2/361</f>
        <v>0.00554016620498615</v>
      </c>
    </row>
    <row r="1661" spans="1:8" ht="13.5" thickBot="1">
      <c r="A1661" s="7" t="s">
        <v>74</v>
      </c>
      <c r="B1661" s="11">
        <f>0.6/337</f>
        <v>0.0017804154302670622</v>
      </c>
      <c r="D1661" s="7" t="s">
        <v>11</v>
      </c>
      <c r="E1661" s="11">
        <f>0.6/318.6</f>
        <v>0.0018832391713747643</v>
      </c>
      <c r="H1661" s="1">
        <f>SUM(H1656:H1660)</f>
        <v>1</v>
      </c>
    </row>
    <row r="1662" spans="1:5" ht="12.75">
      <c r="A1662" s="7"/>
      <c r="B1662" s="10">
        <f>SUM(B1657:B1661)</f>
        <v>1</v>
      </c>
      <c r="E1662" s="1">
        <f>SUM(E1657:E1661)</f>
        <v>0.9999999999999999</v>
      </c>
    </row>
    <row r="1663" spans="7:8" ht="12.75">
      <c r="G1663" s="22" t="s">
        <v>37</v>
      </c>
      <c r="H1663" s="22"/>
    </row>
    <row r="1664" spans="1:8" ht="12.75">
      <c r="A1664" s="22">
        <v>806</v>
      </c>
      <c r="B1664" s="22"/>
      <c r="D1664" s="22">
        <v>814</v>
      </c>
      <c r="E1664" s="22"/>
      <c r="G1664" s="7" t="s">
        <v>3</v>
      </c>
      <c r="H1664" s="8">
        <f>275/366</f>
        <v>0.7513661202185792</v>
      </c>
    </row>
    <row r="1665" spans="1:8" ht="12.75">
      <c r="A1665" s="7" t="s">
        <v>3</v>
      </c>
      <c r="B1665" s="8">
        <f>275/314.4</f>
        <v>0.8746819338422392</v>
      </c>
      <c r="D1665" s="7" t="s">
        <v>3</v>
      </c>
      <c r="E1665" s="8">
        <f>275/326.8</f>
        <v>0.8414932680538555</v>
      </c>
      <c r="G1665" t="s">
        <v>1</v>
      </c>
      <c r="H1665" s="8">
        <f>90/366</f>
        <v>0.2459016393442623</v>
      </c>
    </row>
    <row r="1666" spans="1:8" ht="12.75">
      <c r="A1666" s="7" t="s">
        <v>16</v>
      </c>
      <c r="B1666" s="8">
        <f>33/314.4</f>
        <v>0.10496183206106871</v>
      </c>
      <c r="D1666" s="7" t="s">
        <v>20</v>
      </c>
      <c r="E1666" s="8">
        <f>36/326.8</f>
        <v>0.11015911872705018</v>
      </c>
      <c r="G1666" t="s">
        <v>32</v>
      </c>
      <c r="H1666" s="8">
        <f>0.6/366</f>
        <v>0.001639344262295082</v>
      </c>
    </row>
    <row r="1667" spans="1:8" ht="12.75">
      <c r="A1667" s="7" t="s">
        <v>1</v>
      </c>
      <c r="B1667" s="8">
        <f>3/314.4</f>
        <v>0.009541984732824428</v>
      </c>
      <c r="D1667" s="7" t="s">
        <v>1</v>
      </c>
      <c r="E1667" s="8">
        <f>12/326.8</f>
        <v>0.03671970624235006</v>
      </c>
      <c r="G1667" t="s">
        <v>16</v>
      </c>
      <c r="H1667" s="8">
        <f>0.3/366</f>
        <v>0.000819672131147541</v>
      </c>
    </row>
    <row r="1668" spans="1:8" ht="13.5" thickBot="1">
      <c r="A1668" s="7" t="s">
        <v>20</v>
      </c>
      <c r="B1668" s="8">
        <f>2.8/314.4</f>
        <v>0.008905852417302799</v>
      </c>
      <c r="D1668" s="7" t="s">
        <v>75</v>
      </c>
      <c r="E1668" s="11">
        <f>3.8/326.8</f>
        <v>0.011627906976744186</v>
      </c>
      <c r="G1668" t="s">
        <v>6</v>
      </c>
      <c r="H1668" s="11">
        <f>0.1/366</f>
        <v>0.000273224043715847</v>
      </c>
    </row>
    <row r="1669" spans="1:8" ht="13.5" thickBot="1">
      <c r="A1669" s="7" t="s">
        <v>11</v>
      </c>
      <c r="B1669" s="11">
        <f>0.6/314.4</f>
        <v>0.0019083969465648856</v>
      </c>
      <c r="D1669" s="7"/>
      <c r="E1669" s="8">
        <f>SUM(E1665:E1668)</f>
        <v>1</v>
      </c>
      <c r="H1669" s="1">
        <f>SUM(H1664:H1668)</f>
        <v>0.9999999999999999</v>
      </c>
    </row>
    <row r="1670" spans="1:5" ht="12.75">
      <c r="A1670" s="7"/>
      <c r="B1670" s="10">
        <f>SUM(B1665:B1669)</f>
        <v>1</v>
      </c>
      <c r="E1670" s="1"/>
    </row>
    <row r="1671" spans="4:8" ht="12.75">
      <c r="D1671" s="22" t="s">
        <v>39</v>
      </c>
      <c r="E1671" s="22"/>
      <c r="G1671" s="22" t="s">
        <v>38</v>
      </c>
      <c r="H1671" s="22"/>
    </row>
    <row r="1672" spans="1:8" ht="12.75">
      <c r="A1672" s="22">
        <v>807</v>
      </c>
      <c r="B1672" s="22"/>
      <c r="D1672" s="7" t="s">
        <v>3</v>
      </c>
      <c r="E1672" s="8">
        <f>275/317</f>
        <v>0.8675078864353313</v>
      </c>
      <c r="G1672" s="7" t="s">
        <v>3</v>
      </c>
      <c r="H1672" s="8">
        <f>275/363</f>
        <v>0.7575757575757576</v>
      </c>
    </row>
    <row r="1673" spans="1:8" ht="12.75">
      <c r="A1673" s="7" t="s">
        <v>3</v>
      </c>
      <c r="B1673" s="8">
        <f>275/319</f>
        <v>0.8620689655172413</v>
      </c>
      <c r="D1673" t="s">
        <v>6</v>
      </c>
      <c r="E1673" s="8">
        <f>21/317</f>
        <v>0.06624605678233439</v>
      </c>
      <c r="G1673" t="s">
        <v>1</v>
      </c>
      <c r="H1673" s="8">
        <f>80/363</f>
        <v>0.22038567493112948</v>
      </c>
    </row>
    <row r="1674" spans="1:8" ht="12.75">
      <c r="A1674" s="7" t="s">
        <v>16</v>
      </c>
      <c r="B1674" s="8">
        <f>23/319</f>
        <v>0.07210031347962383</v>
      </c>
      <c r="D1674" t="s">
        <v>2</v>
      </c>
      <c r="E1674" s="8">
        <f>12/317</f>
        <v>0.03785488958990536</v>
      </c>
      <c r="G1674" t="s">
        <v>6</v>
      </c>
      <c r="H1674" s="8">
        <f>5.6/363</f>
        <v>0.015426997245179062</v>
      </c>
    </row>
    <row r="1675" spans="1:8" ht="13.5" thickBot="1">
      <c r="A1675" s="7" t="s">
        <v>20</v>
      </c>
      <c r="B1675" s="8">
        <f>16/319</f>
        <v>0.050156739811912224</v>
      </c>
      <c r="D1675" t="s">
        <v>1</v>
      </c>
      <c r="E1675" s="11">
        <f>9/317</f>
        <v>0.028391167192429023</v>
      </c>
      <c r="G1675" t="s">
        <v>5</v>
      </c>
      <c r="H1675" s="8">
        <f>2/363</f>
        <v>0.005509641873278237</v>
      </c>
    </row>
    <row r="1676" spans="1:8" ht="13.5" thickBot="1">
      <c r="A1676" s="7" t="s">
        <v>1</v>
      </c>
      <c r="B1676" s="11">
        <f>5/319</f>
        <v>0.01567398119122257</v>
      </c>
      <c r="E1676" s="1">
        <f>SUM(E1672:E1675)</f>
        <v>1</v>
      </c>
      <c r="G1676" t="s">
        <v>7</v>
      </c>
      <c r="H1676" s="11">
        <f>0.4/363</f>
        <v>0.0011019283746556475</v>
      </c>
    </row>
    <row r="1677" spans="1:8" ht="12.75">
      <c r="A1677" s="7"/>
      <c r="B1677" s="8">
        <f>SUM(B1673:B1676)</f>
        <v>1</v>
      </c>
      <c r="H1677" s="1">
        <f>SUM(H1672:H1676)</f>
        <v>1</v>
      </c>
    </row>
    <row r="1678" spans="1:5" ht="12.75">
      <c r="A1678" s="7"/>
      <c r="B1678" s="10"/>
      <c r="D1678" s="22" t="s">
        <v>40</v>
      </c>
      <c r="E1678" s="22"/>
    </row>
    <row r="1679" spans="1:8" ht="12.75">
      <c r="A1679" s="22">
        <v>808</v>
      </c>
      <c r="B1679" s="22"/>
      <c r="D1679" s="7" t="s">
        <v>3</v>
      </c>
      <c r="E1679" s="8">
        <f>275/329</f>
        <v>0.8358662613981763</v>
      </c>
      <c r="G1679" s="22" t="s">
        <v>41</v>
      </c>
      <c r="H1679" s="22"/>
    </row>
    <row r="1680" spans="1:8" ht="12.75">
      <c r="A1680" s="7" t="s">
        <v>3</v>
      </c>
      <c r="B1680" s="8">
        <f>275/329.2</f>
        <v>0.8353584447144593</v>
      </c>
      <c r="D1680" t="s">
        <v>6</v>
      </c>
      <c r="E1680" s="8">
        <f>15.2/329</f>
        <v>0.04620060790273556</v>
      </c>
      <c r="G1680" s="7" t="s">
        <v>3</v>
      </c>
      <c r="H1680" s="8">
        <f>275/352.8</f>
        <v>0.7794784580498866</v>
      </c>
    </row>
    <row r="1681" spans="1:8" ht="12.75">
      <c r="A1681" s="7" t="s">
        <v>1</v>
      </c>
      <c r="B1681" s="8">
        <f>41/329.2</f>
        <v>0.12454434993924667</v>
      </c>
      <c r="D1681" t="s">
        <v>7</v>
      </c>
      <c r="E1681" s="8">
        <f>15.2/329</f>
        <v>0.04620060790273556</v>
      </c>
      <c r="G1681" t="s">
        <v>1</v>
      </c>
      <c r="H1681" s="8">
        <f>65.6/352.8</f>
        <v>0.1859410430839002</v>
      </c>
    </row>
    <row r="1682" spans="1:8" ht="12.75">
      <c r="A1682" s="7" t="s">
        <v>19</v>
      </c>
      <c r="B1682" s="8">
        <f>11.2/329.2</f>
        <v>0.03402187120291616</v>
      </c>
      <c r="D1682" t="s">
        <v>1</v>
      </c>
      <c r="E1682" s="8">
        <f>14/329</f>
        <v>0.0425531914893617</v>
      </c>
      <c r="G1682" t="s">
        <v>6</v>
      </c>
      <c r="H1682" s="8">
        <f>10.2/352.8</f>
        <v>0.028911564625850338</v>
      </c>
    </row>
    <row r="1683" spans="1:8" ht="13.5" thickBot="1">
      <c r="A1683" s="7" t="s">
        <v>5</v>
      </c>
      <c r="B1683" s="11">
        <f>2/329.2</f>
        <v>0.006075334143377886</v>
      </c>
      <c r="D1683" t="s">
        <v>2</v>
      </c>
      <c r="E1683" s="11">
        <f>9.6/329</f>
        <v>0.02917933130699088</v>
      </c>
      <c r="G1683" t="s">
        <v>5</v>
      </c>
      <c r="H1683" s="8">
        <f>1.2/352.8</f>
        <v>0.003401360544217687</v>
      </c>
    </row>
    <row r="1684" spans="1:8" ht="13.5" thickBot="1">
      <c r="A1684" s="7"/>
      <c r="B1684" s="8">
        <f>SUM(B1680:B1683)</f>
        <v>1</v>
      </c>
      <c r="E1684" s="1">
        <f>SUM(E1679:E1683)</f>
        <v>1</v>
      </c>
      <c r="G1684" t="s">
        <v>7</v>
      </c>
      <c r="H1684" s="11">
        <f>0.8/352.8</f>
        <v>0.0022675736961451248</v>
      </c>
    </row>
    <row r="1685" ht="12.75">
      <c r="H1685" s="1">
        <f>SUM(H1680:H1684)</f>
        <v>0.9999999999999999</v>
      </c>
    </row>
    <row r="1686" spans="1:5" ht="12.75">
      <c r="A1686" s="22">
        <v>809</v>
      </c>
      <c r="B1686" s="22"/>
      <c r="D1686" s="22" t="s">
        <v>43</v>
      </c>
      <c r="E1686" s="22"/>
    </row>
    <row r="1687" spans="1:8" ht="12.75">
      <c r="A1687" s="7" t="s">
        <v>3</v>
      </c>
      <c r="B1687" s="8">
        <f>275/333.1</f>
        <v>0.8255779045331731</v>
      </c>
      <c r="D1687" s="7" t="s">
        <v>3</v>
      </c>
      <c r="E1687" s="8">
        <f>275/314</f>
        <v>0.8757961783439491</v>
      </c>
      <c r="G1687" s="22" t="s">
        <v>42</v>
      </c>
      <c r="H1687" s="22"/>
    </row>
    <row r="1688" spans="1:8" ht="12.75">
      <c r="A1688" s="7" t="s">
        <v>2</v>
      </c>
      <c r="B1688" s="8">
        <f>30/333.1</f>
        <v>0.09006304413089161</v>
      </c>
      <c r="D1688" t="s">
        <v>11</v>
      </c>
      <c r="E1688" s="8">
        <f>17/314</f>
        <v>0.054140127388535034</v>
      </c>
      <c r="G1688" s="7" t="s">
        <v>3</v>
      </c>
      <c r="H1688" s="8">
        <f>275/365.9</f>
        <v>0.7515714676141022</v>
      </c>
    </row>
    <row r="1689" spans="1:8" ht="12.75">
      <c r="A1689" s="7" t="s">
        <v>1</v>
      </c>
      <c r="B1689" s="8">
        <f>28/333.1</f>
        <v>0.08405884118883218</v>
      </c>
      <c r="D1689" t="s">
        <v>1</v>
      </c>
      <c r="E1689" s="8">
        <f>10/314</f>
        <v>0.03184713375796178</v>
      </c>
      <c r="G1689" t="s">
        <v>1</v>
      </c>
      <c r="H1689" s="8">
        <f>90/365.9</f>
        <v>0.24596884394643348</v>
      </c>
    </row>
    <row r="1690" spans="1:8" ht="13.5" thickBot="1">
      <c r="A1690" s="7" t="s">
        <v>19</v>
      </c>
      <c r="B1690" s="11">
        <f>0.1/333.1</f>
        <v>0.0003002101471029721</v>
      </c>
      <c r="D1690" t="s">
        <v>2</v>
      </c>
      <c r="E1690" s="8">
        <f>7/314</f>
        <v>0.022292993630573247</v>
      </c>
      <c r="G1690" t="s">
        <v>5</v>
      </c>
      <c r="H1690" s="8">
        <f>0.6/365.9</f>
        <v>0.001639792292976223</v>
      </c>
    </row>
    <row r="1691" spans="1:8" ht="13.5" thickBot="1">
      <c r="A1691" s="7"/>
      <c r="B1691" s="8">
        <f>SUM(B1687:B1690)</f>
        <v>1</v>
      </c>
      <c r="D1691" t="s">
        <v>6</v>
      </c>
      <c r="E1691" s="11">
        <f>5/314</f>
        <v>0.01592356687898089</v>
      </c>
      <c r="G1691" t="s">
        <v>6</v>
      </c>
      <c r="H1691" s="8">
        <f>0.2/365.9</f>
        <v>0.0005465974309920744</v>
      </c>
    </row>
    <row r="1692" spans="5:8" ht="13.5" thickBot="1">
      <c r="E1692" s="1">
        <f>SUM(E1687:E1691)</f>
        <v>1</v>
      </c>
      <c r="G1692" t="s">
        <v>15</v>
      </c>
      <c r="H1692" s="11">
        <f>0.1/365.9</f>
        <v>0.0002732987154960372</v>
      </c>
    </row>
    <row r="1693" ht="12.75">
      <c r="H1693" s="1">
        <f>SUM(H1688:H1692)</f>
        <v>1</v>
      </c>
    </row>
    <row r="1694" spans="1:8" ht="12.75">
      <c r="A1694" s="22" t="s">
        <v>44</v>
      </c>
      <c r="B1694" s="22"/>
      <c r="D1694" s="22" t="s">
        <v>45</v>
      </c>
      <c r="E1694" s="22"/>
      <c r="G1694" s="22" t="s">
        <v>46</v>
      </c>
      <c r="H1694" s="22"/>
    </row>
    <row r="1695" spans="1:8" ht="12.75">
      <c r="A1695" s="7" t="s">
        <v>3</v>
      </c>
      <c r="B1695" s="8">
        <f>275/366.6</f>
        <v>0.7501363884342608</v>
      </c>
      <c r="D1695" s="7" t="s">
        <v>3</v>
      </c>
      <c r="E1695" s="8">
        <f>275/321</f>
        <v>0.8566978193146417</v>
      </c>
      <c r="G1695" s="7" t="s">
        <v>3</v>
      </c>
      <c r="H1695" s="8">
        <f>275/351.7</f>
        <v>0.7819164060278647</v>
      </c>
    </row>
    <row r="1696" spans="1:8" ht="12.75">
      <c r="A1696" t="s">
        <v>1</v>
      </c>
      <c r="B1696" s="8">
        <f>90/366.6</f>
        <v>0.2454991816693944</v>
      </c>
      <c r="D1696" t="s">
        <v>2</v>
      </c>
      <c r="E1696" s="8">
        <f>32/321</f>
        <v>0.09968847352024922</v>
      </c>
      <c r="G1696" t="s">
        <v>1</v>
      </c>
      <c r="H1696" s="8">
        <f>75/351.7</f>
        <v>0.21324992891669037</v>
      </c>
    </row>
    <row r="1697" spans="1:8" ht="12.75">
      <c r="A1697" t="s">
        <v>5</v>
      </c>
      <c r="B1697" s="8">
        <f>1/366.6</f>
        <v>0.0027277686852154935</v>
      </c>
      <c r="D1697" t="s">
        <v>7</v>
      </c>
      <c r="E1697" s="8">
        <f>7/321</f>
        <v>0.021806853582554516</v>
      </c>
      <c r="G1697" t="s">
        <v>5</v>
      </c>
      <c r="H1697" s="8">
        <f>1.2/351.7</f>
        <v>0.0034119988626670457</v>
      </c>
    </row>
    <row r="1698" spans="1:8" ht="12.75">
      <c r="A1698" t="s">
        <v>6</v>
      </c>
      <c r="B1698" s="8">
        <f>0.4/366.6</f>
        <v>0.0010911074740861974</v>
      </c>
      <c r="D1698" t="s">
        <v>5</v>
      </c>
      <c r="E1698" s="8">
        <f>5/321</f>
        <v>0.01557632398753894</v>
      </c>
      <c r="G1698" t="s">
        <v>15</v>
      </c>
      <c r="H1698" s="8">
        <f>0.4/351.7</f>
        <v>0.0011373329542223487</v>
      </c>
    </row>
    <row r="1699" spans="1:8" ht="13.5" thickBot="1">
      <c r="A1699" t="s">
        <v>15</v>
      </c>
      <c r="B1699" s="11">
        <f>0.2/366.6</f>
        <v>0.0005455537370430987</v>
      </c>
      <c r="D1699" t="s">
        <v>1</v>
      </c>
      <c r="E1699" s="11">
        <f>2/321</f>
        <v>0.006230529595015576</v>
      </c>
      <c r="G1699" t="s">
        <v>6</v>
      </c>
      <c r="H1699" s="11">
        <f>0.1/351.7</f>
        <v>0.0002843332385555872</v>
      </c>
    </row>
    <row r="1700" spans="2:8" ht="12.75">
      <c r="B1700" s="1">
        <f>SUM(B1695:B1699)</f>
        <v>1</v>
      </c>
      <c r="E1700" s="1">
        <f>SUM(E1695:E1699)</f>
        <v>1</v>
      </c>
      <c r="H1700" s="1">
        <f>SUM(H1695:H1699)</f>
        <v>1</v>
      </c>
    </row>
    <row r="1702" spans="1:8" ht="12.75">
      <c r="A1702" s="22" t="s">
        <v>49</v>
      </c>
      <c r="B1702" s="22"/>
      <c r="D1702" s="22" t="s">
        <v>48</v>
      </c>
      <c r="E1702" s="22"/>
      <c r="G1702" s="22" t="s">
        <v>47</v>
      </c>
      <c r="H1702" s="22"/>
    </row>
    <row r="1703" spans="1:8" ht="12.75">
      <c r="A1703" s="7" t="s">
        <v>3</v>
      </c>
      <c r="B1703" s="8">
        <f>275/367.6</f>
        <v>0.7480957562568008</v>
      </c>
      <c r="D1703" s="7" t="s">
        <v>3</v>
      </c>
      <c r="E1703" s="8">
        <f>275/318.6</f>
        <v>0.8631512868801003</v>
      </c>
      <c r="G1703" s="7" t="s">
        <v>3</v>
      </c>
      <c r="H1703" s="8">
        <f>275/343.4</f>
        <v>0.8008153756552127</v>
      </c>
    </row>
    <row r="1704" spans="1:8" ht="12.75">
      <c r="A1704" t="s">
        <v>1</v>
      </c>
      <c r="B1704" s="8">
        <f>90/367.6</f>
        <v>0.24483133841131663</v>
      </c>
      <c r="D1704" t="s">
        <v>10</v>
      </c>
      <c r="E1704" s="8">
        <f>38/318.6</f>
        <v>0.11927181418706842</v>
      </c>
      <c r="G1704" t="s">
        <v>1</v>
      </c>
      <c r="H1704" s="8">
        <f>60/343.4</f>
        <v>0.17472335468841002</v>
      </c>
    </row>
    <row r="1705" spans="1:8" ht="12.75">
      <c r="A1705" t="s">
        <v>5</v>
      </c>
      <c r="B1705" s="8">
        <f>1.6/367.6</f>
        <v>0.004352557127312296</v>
      </c>
      <c r="D1705" t="s">
        <v>1</v>
      </c>
      <c r="E1705" s="8">
        <f>4/318.6</f>
        <v>0.012554927809165096</v>
      </c>
      <c r="G1705" t="s">
        <v>6</v>
      </c>
      <c r="H1705" s="8">
        <f>4/343.4</f>
        <v>0.011648223645894002</v>
      </c>
    </row>
    <row r="1706" spans="1:8" ht="12.75">
      <c r="A1706" t="s">
        <v>6</v>
      </c>
      <c r="B1706" s="8">
        <f>0.6/367.6</f>
        <v>0.0016322089227421108</v>
      </c>
      <c r="D1706" t="s">
        <v>24</v>
      </c>
      <c r="E1706" s="8">
        <f>1.2/318.6</f>
        <v>0.0037664783427495286</v>
      </c>
      <c r="G1706" t="s">
        <v>2</v>
      </c>
      <c r="H1706" s="8">
        <f>2.4/343.4</f>
        <v>0.006988934187536401</v>
      </c>
    </row>
    <row r="1707" spans="1:8" ht="13.5" thickBot="1">
      <c r="A1707" t="s">
        <v>15</v>
      </c>
      <c r="B1707" s="11">
        <f>0.4/367.6</f>
        <v>0.001088139281828074</v>
      </c>
      <c r="D1707" t="s">
        <v>5</v>
      </c>
      <c r="E1707" s="11">
        <f>0.4/318.6</f>
        <v>0.0012554927809165096</v>
      </c>
      <c r="G1707" t="s">
        <v>7</v>
      </c>
      <c r="H1707" s="11">
        <f>2/343.4</f>
        <v>0.005824111822947001</v>
      </c>
    </row>
    <row r="1708" spans="2:8" ht="12.75">
      <c r="B1708" s="1">
        <f>SUM(B1703:B1707)</f>
        <v>0.9999999999999999</v>
      </c>
      <c r="E1708" s="1">
        <f>SUM(E1703:E1707)</f>
        <v>1</v>
      </c>
      <c r="H1708" s="1">
        <f>SUM(H1703:H1707)</f>
        <v>1.0000000000000002</v>
      </c>
    </row>
    <row r="1710" spans="1:8" ht="12.75">
      <c r="A1710" s="22" t="s">
        <v>52</v>
      </c>
      <c r="B1710" s="22"/>
      <c r="D1710" s="22" t="s">
        <v>51</v>
      </c>
      <c r="E1710" s="22"/>
      <c r="G1710" s="22" t="s">
        <v>50</v>
      </c>
      <c r="H1710" s="22"/>
    </row>
    <row r="1711" spans="1:8" ht="12.75">
      <c r="A1711" s="7" t="s">
        <v>3</v>
      </c>
      <c r="B1711" s="8">
        <f>275/368.3</f>
        <v>0.7466739071409177</v>
      </c>
      <c r="D1711" s="7" t="s">
        <v>3</v>
      </c>
      <c r="E1711" s="8">
        <f>275/315.6</f>
        <v>0.8713561470215462</v>
      </c>
      <c r="G1711" s="7" t="s">
        <v>3</v>
      </c>
      <c r="H1711" s="8">
        <f>275/356.2</f>
        <v>0.7720381807973049</v>
      </c>
    </row>
    <row r="1712" spans="1:8" ht="12.75">
      <c r="A1712" t="s">
        <v>1</v>
      </c>
      <c r="B1712" s="8">
        <f>90/368.3</f>
        <v>0.24436600597339125</v>
      </c>
      <c r="D1712" t="s">
        <v>20</v>
      </c>
      <c r="E1712" s="8">
        <f>35/315.6</f>
        <v>0.1108998732572877</v>
      </c>
      <c r="G1712" t="s">
        <v>1</v>
      </c>
      <c r="H1712" s="8">
        <f>62/356.2</f>
        <v>0.17405951712521056</v>
      </c>
    </row>
    <row r="1713" spans="1:8" ht="12.75">
      <c r="A1713" t="s">
        <v>5</v>
      </c>
      <c r="B1713" s="8">
        <f>1.8/368.3</f>
        <v>0.004887320119467825</v>
      </c>
      <c r="D1713" t="s">
        <v>1</v>
      </c>
      <c r="E1713" s="8">
        <f>3/315.6</f>
        <v>0.009505703422053232</v>
      </c>
      <c r="G1713" t="s">
        <v>6</v>
      </c>
      <c r="H1713" s="8">
        <f>8.8/356.2</f>
        <v>0.024705221785513758</v>
      </c>
    </row>
    <row r="1714" spans="1:8" ht="13.5" thickBot="1">
      <c r="A1714" t="s">
        <v>6</v>
      </c>
      <c r="B1714" s="8">
        <f>1/368.3</f>
        <v>0.0027151778441487917</v>
      </c>
      <c r="D1714" t="s">
        <v>16</v>
      </c>
      <c r="E1714" s="11">
        <f>2.6/315.6</f>
        <v>0.008238276299112801</v>
      </c>
      <c r="G1714" t="s">
        <v>2</v>
      </c>
      <c r="H1714" s="8">
        <f>6/356.2</f>
        <v>0.016844469399213927</v>
      </c>
    </row>
    <row r="1715" spans="1:8" ht="13.5" thickBot="1">
      <c r="A1715" t="s">
        <v>15</v>
      </c>
      <c r="B1715" s="11">
        <f>0.5/368.3</f>
        <v>0.0013575889220743959</v>
      </c>
      <c r="E1715" s="8">
        <f>SUM(E1711:E1714)</f>
        <v>0.9999999999999999</v>
      </c>
      <c r="G1715" t="s">
        <v>7</v>
      </c>
      <c r="H1715" s="11">
        <f>4.4/356.2</f>
        <v>0.012352610892756879</v>
      </c>
    </row>
    <row r="1716" spans="2:8" ht="12.75">
      <c r="B1716" s="1">
        <f>SUM(B1711:B1715)</f>
        <v>1</v>
      </c>
      <c r="H1716" s="1">
        <f>SUM(H1711:H1715)</f>
        <v>1</v>
      </c>
    </row>
    <row r="1717" spans="4:5" ht="12.75">
      <c r="D1717" s="22" t="s">
        <v>54</v>
      </c>
      <c r="E1717" s="22"/>
    </row>
    <row r="1718" spans="1:8" ht="12" customHeight="1">
      <c r="A1718" s="22" t="s">
        <v>53</v>
      </c>
      <c r="B1718" s="22"/>
      <c r="D1718" s="7" t="s">
        <v>3</v>
      </c>
      <c r="E1718" s="8">
        <f>275/354.6</f>
        <v>0.775521714608009</v>
      </c>
      <c r="G1718" s="22" t="s">
        <v>55</v>
      </c>
      <c r="H1718" s="22"/>
    </row>
    <row r="1719" spans="1:8" ht="12.75">
      <c r="A1719" s="7" t="s">
        <v>3</v>
      </c>
      <c r="B1719" s="8">
        <f>275/367.4</f>
        <v>0.7485029940119761</v>
      </c>
      <c r="D1719" t="s">
        <v>16</v>
      </c>
      <c r="E1719" s="8">
        <f>38/354.6</f>
        <v>0.10716300056401579</v>
      </c>
      <c r="G1719" s="7" t="s">
        <v>3</v>
      </c>
      <c r="H1719" s="8">
        <f>275/366.5</f>
        <v>0.7503410641200545</v>
      </c>
    </row>
    <row r="1720" spans="1:8" ht="12.75">
      <c r="A1720" t="s">
        <v>1</v>
      </c>
      <c r="B1720" s="8">
        <f>90/367.4</f>
        <v>0.24496461622210128</v>
      </c>
      <c r="D1720" t="s">
        <v>1</v>
      </c>
      <c r="E1720" s="8">
        <f>22/354.6</f>
        <v>0.06204173716864072</v>
      </c>
      <c r="G1720" t="s">
        <v>1</v>
      </c>
      <c r="H1720" s="8">
        <f>90/366.5</f>
        <v>0.24556616643929058</v>
      </c>
    </row>
    <row r="1721" spans="1:8" ht="12.75">
      <c r="A1721" t="s">
        <v>5</v>
      </c>
      <c r="B1721" s="8">
        <f>1.2/367.4</f>
        <v>0.00326619488296135</v>
      </c>
      <c r="D1721" t="s">
        <v>7</v>
      </c>
      <c r="E1721" s="8">
        <f>18/354.6</f>
        <v>0.050761421319796954</v>
      </c>
      <c r="G1721" t="s">
        <v>5</v>
      </c>
      <c r="H1721" s="8">
        <f>1.2/366.5</f>
        <v>0.0032742155525238743</v>
      </c>
    </row>
    <row r="1722" spans="1:8" ht="13.5" thickBot="1">
      <c r="A1722" t="s">
        <v>6</v>
      </c>
      <c r="B1722" s="8">
        <f>1/367.4</f>
        <v>0.0027218290691344584</v>
      </c>
      <c r="D1722" t="s">
        <v>74</v>
      </c>
      <c r="E1722" s="11">
        <f>1.6/354.6</f>
        <v>0.004512126339537507</v>
      </c>
      <c r="G1722" t="s">
        <v>6</v>
      </c>
      <c r="H1722" s="8">
        <f>0.2/366.5</f>
        <v>0.0005457025920873125</v>
      </c>
    </row>
    <row r="1723" spans="1:8" ht="13.5" thickBot="1">
      <c r="A1723" t="s">
        <v>7</v>
      </c>
      <c r="B1723" s="11">
        <f>0.2/367.4</f>
        <v>0.0005443658138268917</v>
      </c>
      <c r="E1723" s="1">
        <f>SUM(E1718:E1722)</f>
        <v>0.9999999999999999</v>
      </c>
      <c r="G1723" t="s">
        <v>7</v>
      </c>
      <c r="H1723" s="11">
        <f>0.1/366.5</f>
        <v>0.00027285129604365623</v>
      </c>
    </row>
    <row r="1724" spans="2:8" ht="12.75">
      <c r="B1724" s="1">
        <f>SUM(B1719:B1723)</f>
        <v>1</v>
      </c>
      <c r="H1724" s="1">
        <f>SUM(H1719:H1723)</f>
        <v>0.9999999999999999</v>
      </c>
    </row>
    <row r="1725" spans="4:5" ht="12.75">
      <c r="D1725" s="22" t="s">
        <v>57</v>
      </c>
      <c r="E1725" s="22"/>
    </row>
    <row r="1726" spans="1:8" ht="12.75">
      <c r="A1726" s="22" t="s">
        <v>58</v>
      </c>
      <c r="B1726" s="22"/>
      <c r="D1726" s="7" t="s">
        <v>3</v>
      </c>
      <c r="E1726" s="8">
        <f>275/333</f>
        <v>0.8258258258258259</v>
      </c>
      <c r="G1726" s="22" t="s">
        <v>56</v>
      </c>
      <c r="H1726" s="22"/>
    </row>
    <row r="1727" spans="1:8" ht="12.75">
      <c r="A1727" s="7" t="s">
        <v>3</v>
      </c>
      <c r="B1727" s="8">
        <f>275/368.5</f>
        <v>0.746268656716418</v>
      </c>
      <c r="D1727" t="s">
        <v>75</v>
      </c>
      <c r="E1727" s="8">
        <f>48/333</f>
        <v>0.14414414414414414</v>
      </c>
      <c r="G1727" s="7" t="s">
        <v>3</v>
      </c>
      <c r="H1727" s="8">
        <f>275/351.8</f>
        <v>0.7816941444002273</v>
      </c>
    </row>
    <row r="1728" spans="1:8" ht="12.75">
      <c r="A1728" t="s">
        <v>1</v>
      </c>
      <c r="B1728" s="8">
        <f>90/368.5</f>
        <v>0.24423337856173677</v>
      </c>
      <c r="D1728" t="s">
        <v>24</v>
      </c>
      <c r="E1728" s="8">
        <f>8/333</f>
        <v>0.024024024024024024</v>
      </c>
      <c r="G1728" t="s">
        <v>1</v>
      </c>
      <c r="H1728" s="8">
        <f>74/351.8</f>
        <v>0.21034678794769754</v>
      </c>
    </row>
    <row r="1729" spans="1:8" ht="13.5" thickBot="1">
      <c r="A1729" t="s">
        <v>5</v>
      </c>
      <c r="B1729" s="8">
        <f>1.6/368.5</f>
        <v>0.004341926729986432</v>
      </c>
      <c r="D1729" t="s">
        <v>1</v>
      </c>
      <c r="E1729" s="11">
        <f>2/333</f>
        <v>0.006006006006006006</v>
      </c>
      <c r="G1729" t="s">
        <v>5</v>
      </c>
      <c r="H1729" s="8">
        <f>2.2/351.8</f>
        <v>0.0062535531552018195</v>
      </c>
    </row>
    <row r="1730" spans="1:8" ht="12.75">
      <c r="A1730" t="s">
        <v>6</v>
      </c>
      <c r="B1730" s="8">
        <f>1.6/368.5</f>
        <v>0.004341926729986432</v>
      </c>
      <c r="E1730" s="8">
        <f>SUM(E1726:E1729)</f>
        <v>1</v>
      </c>
      <c r="G1730" t="s">
        <v>6</v>
      </c>
      <c r="H1730" s="8">
        <f>0.4/351.8</f>
        <v>0.0011370096645821489</v>
      </c>
    </row>
    <row r="1731" spans="1:8" ht="13.5" thickBot="1">
      <c r="A1731" t="s">
        <v>7</v>
      </c>
      <c r="B1731" s="11">
        <f>0.3/368.5</f>
        <v>0.0008141112618724559</v>
      </c>
      <c r="E1731" s="1"/>
      <c r="G1731" t="s">
        <v>7</v>
      </c>
      <c r="H1731" s="11">
        <f>0.2/351.8</f>
        <v>0.0005685048322910744</v>
      </c>
    </row>
    <row r="1732" spans="2:8" ht="12.75">
      <c r="B1732" s="1">
        <f>SUM(B1727:B1731)</f>
        <v>1</v>
      </c>
      <c r="D1732" s="22" t="s">
        <v>60</v>
      </c>
      <c r="E1732" s="22"/>
      <c r="H1732" s="1">
        <f>SUM(H1727:H1731)</f>
        <v>1</v>
      </c>
    </row>
    <row r="1733" spans="4:5" ht="12.75">
      <c r="D1733" s="7" t="s">
        <v>3</v>
      </c>
      <c r="E1733" s="8">
        <f>275/311</f>
        <v>0.8842443729903537</v>
      </c>
    </row>
    <row r="1734" spans="1:8" ht="12" customHeight="1">
      <c r="A1734" s="22" t="s">
        <v>59</v>
      </c>
      <c r="B1734" s="22"/>
      <c r="D1734" t="s">
        <v>16</v>
      </c>
      <c r="E1734" s="8">
        <f>22/311</f>
        <v>0.0707395498392283</v>
      </c>
      <c r="G1734" s="22" t="s">
        <v>62</v>
      </c>
      <c r="H1734" s="22"/>
    </row>
    <row r="1735" spans="1:8" ht="12.75">
      <c r="A1735" s="7" t="s">
        <v>3</v>
      </c>
      <c r="B1735" s="8">
        <f>275/349.9</f>
        <v>0.7859388396684768</v>
      </c>
      <c r="D1735" t="s">
        <v>20</v>
      </c>
      <c r="E1735" s="8">
        <f>12/311</f>
        <v>0.03858520900321544</v>
      </c>
      <c r="G1735" s="7" t="s">
        <v>3</v>
      </c>
      <c r="H1735" s="8">
        <f>275/359.6</f>
        <v>0.7647385984427141</v>
      </c>
    </row>
    <row r="1736" spans="1:8" ht="13.5" thickBot="1">
      <c r="A1736" t="s">
        <v>1</v>
      </c>
      <c r="B1736" s="8">
        <f>72/349.9</f>
        <v>0.20577307802229208</v>
      </c>
      <c r="D1736" t="s">
        <v>1</v>
      </c>
      <c r="E1736" s="11">
        <f>2/311</f>
        <v>0.006430868167202572</v>
      </c>
      <c r="G1736" t="s">
        <v>1</v>
      </c>
      <c r="H1736" s="8">
        <f>80/359.6</f>
        <v>0.22246941045606228</v>
      </c>
    </row>
    <row r="1737" spans="1:8" ht="12.75">
      <c r="A1737" t="s">
        <v>6</v>
      </c>
      <c r="B1737" s="8">
        <f>1.8/349.9</f>
        <v>0.005144326950557302</v>
      </c>
      <c r="E1737" s="8">
        <f>SUM(E1733:E1736)</f>
        <v>1</v>
      </c>
      <c r="G1737" t="s">
        <v>5</v>
      </c>
      <c r="H1737" s="8">
        <f>3.6/359.6</f>
        <v>0.010011123470522803</v>
      </c>
    </row>
    <row r="1738" spans="1:8" ht="12.75">
      <c r="A1738" t="s">
        <v>5</v>
      </c>
      <c r="B1738" s="8">
        <f>1/349.9</f>
        <v>0.0028579594169762792</v>
      </c>
      <c r="G1738" t="s">
        <v>6</v>
      </c>
      <c r="H1738" s="8">
        <f>0.6/359.6</f>
        <v>0.001668520578420467</v>
      </c>
    </row>
    <row r="1739" spans="1:8" ht="12" customHeight="1" thickBot="1">
      <c r="A1739" t="s">
        <v>7</v>
      </c>
      <c r="B1739" s="11">
        <f>0.1/349.9</f>
        <v>0.00028579594169762795</v>
      </c>
      <c r="D1739" s="22" t="s">
        <v>61</v>
      </c>
      <c r="E1739" s="22"/>
      <c r="G1739" t="s">
        <v>7</v>
      </c>
      <c r="H1739" s="11">
        <f>0.4/359.6</f>
        <v>0.0011123470522803114</v>
      </c>
    </row>
    <row r="1740" spans="2:8" ht="12.75">
      <c r="B1740" s="1">
        <f>SUM(B1735:B1739)</f>
        <v>1</v>
      </c>
      <c r="D1740" s="7" t="s">
        <v>3</v>
      </c>
      <c r="E1740" s="8">
        <f>275/327</f>
        <v>0.8409785932721713</v>
      </c>
      <c r="H1740" s="1">
        <f>SUM(H1735:H1739)</f>
        <v>1</v>
      </c>
    </row>
    <row r="1741" spans="4:8" ht="12.75">
      <c r="D1741" t="s">
        <v>16</v>
      </c>
      <c r="E1741" s="8">
        <f>40/327</f>
        <v>0.12232415902140673</v>
      </c>
      <c r="G1741" s="7"/>
      <c r="H1741" s="7"/>
    </row>
    <row r="1742" spans="1:8" ht="11.25" customHeight="1">
      <c r="A1742" s="22" t="s">
        <v>63</v>
      </c>
      <c r="B1742" s="22"/>
      <c r="D1742" t="s">
        <v>11</v>
      </c>
      <c r="E1742" s="8">
        <f>11/327</f>
        <v>0.03363914373088685</v>
      </c>
      <c r="G1742" s="22" t="s">
        <v>67</v>
      </c>
      <c r="H1742" s="22"/>
    </row>
    <row r="1743" spans="1:8" ht="13.5" thickBot="1">
      <c r="A1743" s="7" t="s">
        <v>3</v>
      </c>
      <c r="B1743" s="8">
        <f>275/365.8</f>
        <v>0.7517769272826681</v>
      </c>
      <c r="D1743" t="s">
        <v>1</v>
      </c>
      <c r="E1743" s="11">
        <f>1/327</f>
        <v>0.0030581039755351682</v>
      </c>
      <c r="G1743" s="7" t="s">
        <v>3</v>
      </c>
      <c r="H1743" s="8">
        <f>275/354.6</f>
        <v>0.775521714608009</v>
      </c>
    </row>
    <row r="1744" spans="1:8" ht="12.75">
      <c r="A1744" t="s">
        <v>1</v>
      </c>
      <c r="B1744" s="8">
        <f>84/365.8</f>
        <v>0.22963367960634226</v>
      </c>
      <c r="E1744" s="8">
        <f>SUM(E1740:E1743)</f>
        <v>1</v>
      </c>
      <c r="G1744" s="7" t="s">
        <v>1</v>
      </c>
      <c r="H1744" s="8">
        <f>72/354.6</f>
        <v>0.20304568527918782</v>
      </c>
    </row>
    <row r="1745" spans="1:8" ht="12.75">
      <c r="A1745" t="s">
        <v>6</v>
      </c>
      <c r="B1745" s="8">
        <f>4.4/365.8</f>
        <v>0.012028430836522691</v>
      </c>
      <c r="G1745" s="7" t="s">
        <v>5</v>
      </c>
      <c r="H1745" s="8">
        <f>6/354.6</f>
        <v>0.01692047377326565</v>
      </c>
    </row>
    <row r="1746" spans="1:8" ht="12.75">
      <c r="A1746" t="s">
        <v>5</v>
      </c>
      <c r="B1746" s="8">
        <f>2.2/365.8</f>
        <v>0.0060142154182613455</v>
      </c>
      <c r="D1746" s="22" t="s">
        <v>65</v>
      </c>
      <c r="E1746" s="22"/>
      <c r="G1746" s="7" t="s">
        <v>6</v>
      </c>
      <c r="H1746" s="8">
        <f>1/354.6</f>
        <v>0.0028200789622109417</v>
      </c>
    </row>
    <row r="1747" spans="1:8" ht="13.5" thickBot="1">
      <c r="A1747" t="s">
        <v>7</v>
      </c>
      <c r="B1747" s="11">
        <f>0.2/365.8</f>
        <v>0.0005467468562055768</v>
      </c>
      <c r="D1747" s="7" t="s">
        <v>3</v>
      </c>
      <c r="E1747" s="8">
        <f>275/321.6</f>
        <v>0.8550995024875622</v>
      </c>
      <c r="G1747" s="7" t="s">
        <v>7</v>
      </c>
      <c r="H1747" s="11">
        <f>0.6/354.6</f>
        <v>0.0016920473773265649</v>
      </c>
    </row>
    <row r="1748" spans="2:8" ht="12.75">
      <c r="B1748" s="1">
        <f>SUM(B1743:B1747)</f>
        <v>1</v>
      </c>
      <c r="D1748" t="s">
        <v>20</v>
      </c>
      <c r="E1748" s="8">
        <f>35/321.6</f>
        <v>0.10883084577114427</v>
      </c>
      <c r="G1748" s="7"/>
      <c r="H1748" s="10">
        <f>SUM(H1743:H1747)</f>
        <v>1</v>
      </c>
    </row>
    <row r="1749" spans="4:8" ht="12.75">
      <c r="D1749" t="s">
        <v>75</v>
      </c>
      <c r="E1749" s="8">
        <f>9.6/321.6</f>
        <v>0.029850746268656712</v>
      </c>
      <c r="G1749" s="7"/>
      <c r="H1749" s="7"/>
    </row>
    <row r="1750" spans="1:8" ht="12" customHeight="1" thickBot="1">
      <c r="A1750" s="22" t="s">
        <v>64</v>
      </c>
      <c r="B1750" s="22"/>
      <c r="D1750" t="s">
        <v>1</v>
      </c>
      <c r="E1750" s="11">
        <f>2/321.6</f>
        <v>0.006218905472636815</v>
      </c>
      <c r="G1750" s="22" t="s">
        <v>66</v>
      </c>
      <c r="H1750" s="22"/>
    </row>
    <row r="1751" spans="1:8" ht="12.75">
      <c r="A1751" s="7" t="s">
        <v>3</v>
      </c>
      <c r="B1751" s="8">
        <f>275/314.2</f>
        <v>0.8752387014640357</v>
      </c>
      <c r="E1751" s="8">
        <f>SUM(E1747:E1750)</f>
        <v>1</v>
      </c>
      <c r="G1751" s="7" t="s">
        <v>3</v>
      </c>
      <c r="H1751" s="8">
        <f>275/374.7</f>
        <v>0.7339204697091006</v>
      </c>
    </row>
    <row r="1752" spans="1:8" ht="12" customHeight="1">
      <c r="A1752" t="s">
        <v>1</v>
      </c>
      <c r="B1752" s="8">
        <f>19.2/314.2</f>
        <v>0.061107574793125397</v>
      </c>
      <c r="G1752" t="s">
        <v>1</v>
      </c>
      <c r="H1752" s="8">
        <f>88/374.7</f>
        <v>0.2348545503069122</v>
      </c>
    </row>
    <row r="1753" spans="1:8" ht="12" customHeight="1">
      <c r="A1753" t="s">
        <v>19</v>
      </c>
      <c r="B1753" s="8">
        <f>12/314.2</f>
        <v>0.03819223424570337</v>
      </c>
      <c r="G1753" t="s">
        <v>5</v>
      </c>
      <c r="H1753" s="8">
        <f>9.6/374.7</f>
        <v>0.025620496397117692</v>
      </c>
    </row>
    <row r="1754" spans="1:8" ht="12.75" customHeight="1" thickBot="1">
      <c r="A1754" t="s">
        <v>5</v>
      </c>
      <c r="B1754" s="11">
        <f>8/314.2</f>
        <v>0.025461489497135583</v>
      </c>
      <c r="G1754" t="s">
        <v>6</v>
      </c>
      <c r="H1754" s="8">
        <f>1.2/374.7</f>
        <v>0.0032025620496397116</v>
      </c>
    </row>
    <row r="1755" spans="2:8" ht="12.75" customHeight="1" thickBot="1">
      <c r="B1755" s="1">
        <f>SUM(B1751:B1754)</f>
        <v>1</v>
      </c>
      <c r="E1755" s="1"/>
      <c r="G1755" t="s">
        <v>7</v>
      </c>
      <c r="H1755" s="11">
        <f>0.9/374.7</f>
        <v>0.002401921537229784</v>
      </c>
    </row>
    <row r="1756" ht="12.75">
      <c r="H1756" s="1">
        <f>SUM(H1751:H1755)</f>
        <v>1</v>
      </c>
    </row>
    <row r="1757" spans="1:2" ht="12.75">
      <c r="A1757" s="22" t="s">
        <v>68</v>
      </c>
      <c r="B1757" s="22"/>
    </row>
    <row r="1758" spans="1:2" ht="12.75">
      <c r="A1758" s="7" t="s">
        <v>3</v>
      </c>
      <c r="B1758" s="8">
        <f>275/358.6</f>
        <v>0.7668711656441717</v>
      </c>
    </row>
    <row r="1759" spans="1:2" ht="12.75">
      <c r="A1759" s="7" t="s">
        <v>1</v>
      </c>
      <c r="B1759" s="8">
        <f>80/358.6</f>
        <v>0.22308979364194087</v>
      </c>
    </row>
    <row r="1760" spans="1:2" ht="12.75">
      <c r="A1760" s="7" t="s">
        <v>6</v>
      </c>
      <c r="B1760" s="8">
        <f>1.8/358.6</f>
        <v>0.0050195203569436695</v>
      </c>
    </row>
    <row r="1761" spans="1:2" ht="12.75">
      <c r="A1761" s="7" t="s">
        <v>2</v>
      </c>
      <c r="B1761" s="8">
        <f>1/358.6</f>
        <v>0.002788622420524261</v>
      </c>
    </row>
    <row r="1762" spans="1:2" ht="13.5" thickBot="1">
      <c r="A1762" s="7" t="s">
        <v>7</v>
      </c>
      <c r="B1762" s="11">
        <f>0.8/358.6</f>
        <v>0.002230897936419409</v>
      </c>
    </row>
    <row r="1763" spans="1:2" ht="12.75">
      <c r="A1763" s="7"/>
      <c r="B1763" s="10">
        <f>SUM(B1758:B1762)</f>
        <v>0.9999999999999998</v>
      </c>
    </row>
    <row r="1764" spans="1:2" ht="12.75">
      <c r="A1764" s="7"/>
      <c r="B1764" s="7"/>
    </row>
    <row r="1765" spans="1:2" ht="12.75">
      <c r="A1765" s="22" t="s">
        <v>69</v>
      </c>
      <c r="B1765" s="22"/>
    </row>
    <row r="1766" spans="1:2" ht="12.75">
      <c r="A1766" s="7" t="s">
        <v>3</v>
      </c>
      <c r="B1766" s="8">
        <f>275/351.6</f>
        <v>0.7821387940841865</v>
      </c>
    </row>
    <row r="1767" spans="1:2" ht="12.75">
      <c r="A1767" s="7" t="s">
        <v>1</v>
      </c>
      <c r="B1767" s="8">
        <f>72/351.6</f>
        <v>0.20477815699658702</v>
      </c>
    </row>
    <row r="1768" spans="1:2" ht="12.75">
      <c r="A1768" s="7" t="s">
        <v>6</v>
      </c>
      <c r="B1768" s="8">
        <f>2.4/351.6</f>
        <v>0.0068259385665529</v>
      </c>
    </row>
    <row r="1769" spans="1:2" ht="12.75">
      <c r="A1769" s="7" t="s">
        <v>2</v>
      </c>
      <c r="B1769" s="8">
        <f>1.2/351.6</f>
        <v>0.00341296928327645</v>
      </c>
    </row>
    <row r="1770" spans="1:2" ht="13.5" thickBot="1">
      <c r="A1770" s="7" t="s">
        <v>7</v>
      </c>
      <c r="B1770" s="11">
        <f>1/351.6</f>
        <v>0.002844141069397042</v>
      </c>
    </row>
    <row r="1771" spans="1:2" ht="12.75">
      <c r="A1771" s="7"/>
      <c r="B1771" s="10">
        <f>SUM(B1766:B1770)</f>
        <v>1</v>
      </c>
    </row>
    <row r="1772" spans="1:2" ht="12.75">
      <c r="A1772" s="7"/>
      <c r="B1772" s="7"/>
    </row>
    <row r="1773" spans="1:2" ht="12.75">
      <c r="A1773" s="22" t="s">
        <v>70</v>
      </c>
      <c r="B1773" s="22"/>
    </row>
    <row r="1774" spans="1:2" ht="12.75">
      <c r="A1774" s="7" t="s">
        <v>3</v>
      </c>
      <c r="B1774" s="8">
        <f>275/362.2</f>
        <v>0.7592490336830481</v>
      </c>
    </row>
    <row r="1775" spans="1:2" ht="12.75">
      <c r="A1775" s="7" t="s">
        <v>1</v>
      </c>
      <c r="B1775" s="8">
        <f>80/362.2</f>
        <v>0.22087244616234125</v>
      </c>
    </row>
    <row r="1776" spans="1:2" ht="12.75">
      <c r="A1776" s="7" t="s">
        <v>6</v>
      </c>
      <c r="B1776" s="8">
        <f>3.8/362.2</f>
        <v>0.010491441192711209</v>
      </c>
    </row>
    <row r="1777" spans="1:2" ht="12.75">
      <c r="A1777" s="7" t="s">
        <v>7</v>
      </c>
      <c r="B1777" s="8">
        <f>1.8/362.2</f>
        <v>0.004969630038652678</v>
      </c>
    </row>
    <row r="1778" spans="1:2" ht="13.5" thickBot="1">
      <c r="A1778" s="7" t="s">
        <v>2</v>
      </c>
      <c r="B1778" s="11">
        <f>1.6/362.2</f>
        <v>0.004417448923246825</v>
      </c>
    </row>
    <row r="1779" spans="1:2" ht="12.75">
      <c r="A1779" s="7"/>
      <c r="B1779" s="10">
        <f>SUM(B1774:B1778)</f>
        <v>1</v>
      </c>
    </row>
    <row r="1780" spans="1:2" ht="12.75">
      <c r="A1780" s="7"/>
      <c r="B1780" s="7"/>
    </row>
    <row r="1781" spans="1:2" ht="12.75">
      <c r="A1781" s="22" t="s">
        <v>71</v>
      </c>
      <c r="B1781" s="22"/>
    </row>
    <row r="1782" spans="1:2" ht="12.75">
      <c r="A1782" s="7" t="s">
        <v>3</v>
      </c>
      <c r="B1782" s="8">
        <f>275/347</f>
        <v>0.792507204610951</v>
      </c>
    </row>
    <row r="1783" spans="1:2" ht="12.75">
      <c r="A1783" s="7" t="s">
        <v>7</v>
      </c>
      <c r="B1783" s="8">
        <f>34/347</f>
        <v>0.09798270893371758</v>
      </c>
    </row>
    <row r="1784" spans="1:2" ht="12.75">
      <c r="A1784" s="7" t="s">
        <v>1</v>
      </c>
      <c r="B1784" s="8">
        <f>30/347</f>
        <v>0.08645533141210375</v>
      </c>
    </row>
    <row r="1785" spans="1:2" ht="12.75">
      <c r="A1785" s="7" t="s">
        <v>15</v>
      </c>
      <c r="B1785" s="8">
        <f>5/347</f>
        <v>0.01440922190201729</v>
      </c>
    </row>
    <row r="1786" spans="1:2" ht="13.5" thickBot="1">
      <c r="A1786" s="7" t="s">
        <v>2</v>
      </c>
      <c r="B1786" s="11">
        <f>3/347</f>
        <v>0.008645533141210375</v>
      </c>
    </row>
    <row r="1787" spans="1:2" ht="12.75">
      <c r="A1787" s="7"/>
      <c r="B1787" s="10">
        <f>SUM(B1782:B1786)</f>
        <v>1</v>
      </c>
    </row>
    <row r="1788" spans="1:2" ht="12.75">
      <c r="A1788" s="7"/>
      <c r="B1788" s="7"/>
    </row>
    <row r="1789" spans="1:2" ht="12.75">
      <c r="A1789" s="22" t="s">
        <v>72</v>
      </c>
      <c r="B1789" s="22"/>
    </row>
    <row r="1790" spans="1:2" ht="12.75">
      <c r="A1790" s="7" t="s">
        <v>3</v>
      </c>
      <c r="B1790" s="8">
        <f>275/323</f>
        <v>0.8513931888544891</v>
      </c>
    </row>
    <row r="1791" spans="1:2" ht="12.75">
      <c r="A1791" s="7" t="s">
        <v>2</v>
      </c>
      <c r="B1791" s="8">
        <f>46/323</f>
        <v>0.14241486068111456</v>
      </c>
    </row>
    <row r="1792" spans="1:2" ht="13.5" thickBot="1">
      <c r="A1792" s="7" t="s">
        <v>1</v>
      </c>
      <c r="B1792" s="11">
        <f>2/323</f>
        <v>0.006191950464396285</v>
      </c>
    </row>
    <row r="1793" spans="1:2" ht="12.75">
      <c r="A1793" s="7"/>
      <c r="B1793" s="8">
        <f>SUM(B1790:B1792)</f>
        <v>0.9999999999999999</v>
      </c>
    </row>
    <row r="1794" spans="1:2" ht="12.75">
      <c r="A1794" s="7"/>
      <c r="B1794" s="8"/>
    </row>
    <row r="1795" spans="1:2" ht="12.75">
      <c r="A1795" s="22" t="s">
        <v>73</v>
      </c>
      <c r="B1795" s="22"/>
    </row>
    <row r="1796" spans="1:2" ht="12.75">
      <c r="A1796" s="7" t="s">
        <v>3</v>
      </c>
      <c r="B1796" s="8">
        <f>275/343</f>
        <v>0.8017492711370262</v>
      </c>
    </row>
    <row r="1797" spans="1:2" ht="12.75">
      <c r="A1797" s="7" t="s">
        <v>1</v>
      </c>
      <c r="B1797" s="8">
        <f>38/343</f>
        <v>0.11078717201166181</v>
      </c>
    </row>
    <row r="1798" spans="1:2" ht="13.5" thickBot="1">
      <c r="A1798" s="7" t="s">
        <v>2</v>
      </c>
      <c r="B1798" s="11">
        <f>30/343</f>
        <v>0.08746355685131195</v>
      </c>
    </row>
    <row r="1799" spans="1:2" ht="12.75">
      <c r="A1799" s="7"/>
      <c r="B1799" s="8">
        <f>SUM(B1796:B1798)</f>
        <v>0.9999999999999999</v>
      </c>
    </row>
    <row r="1800" spans="1:2" ht="12.75">
      <c r="A1800" s="7"/>
      <c r="B1800" s="7"/>
    </row>
  </sheetData>
  <sheetProtection/>
  <mergeCells count="698">
    <mergeCell ref="D1569:E1569"/>
    <mergeCell ref="D1577:E1577"/>
    <mergeCell ref="G1593:H1593"/>
    <mergeCell ref="G1561:H1561"/>
    <mergeCell ref="A1569:B1569"/>
    <mergeCell ref="A1577:B1577"/>
    <mergeCell ref="A1585:B1585"/>
    <mergeCell ref="D1585:E1585"/>
    <mergeCell ref="D1601:E1601"/>
    <mergeCell ref="G1569:H1569"/>
    <mergeCell ref="G1577:H1577"/>
    <mergeCell ref="G1585:H1585"/>
    <mergeCell ref="D1593:E1593"/>
    <mergeCell ref="D1546:E1546"/>
    <mergeCell ref="D1554:E1554"/>
    <mergeCell ref="D1562:E1562"/>
    <mergeCell ref="G1506:H1506"/>
    <mergeCell ref="G1514:H1514"/>
    <mergeCell ref="G1522:H1522"/>
    <mergeCell ref="G1530:H1530"/>
    <mergeCell ref="G1538:H1538"/>
    <mergeCell ref="G1546:H1546"/>
    <mergeCell ref="G1554:H1554"/>
    <mergeCell ref="A1750:B1750"/>
    <mergeCell ref="A1122:B1122"/>
    <mergeCell ref="A1546:B1546"/>
    <mergeCell ref="A1554:B1554"/>
    <mergeCell ref="A1562:B1562"/>
    <mergeCell ref="A1593:B1593"/>
    <mergeCell ref="A1600:B1600"/>
    <mergeCell ref="A1607:B1607"/>
    <mergeCell ref="G1475:H1475"/>
    <mergeCell ref="G1483:H1483"/>
    <mergeCell ref="G1491:H1491"/>
    <mergeCell ref="G1499:H1499"/>
    <mergeCell ref="A1530:B1530"/>
    <mergeCell ref="A1538:B1538"/>
    <mergeCell ref="D1522:E1522"/>
    <mergeCell ref="D1530:E1530"/>
    <mergeCell ref="D1538:E1538"/>
    <mergeCell ref="A1522:B1522"/>
    <mergeCell ref="A1474:B1474"/>
    <mergeCell ref="A1482:B1482"/>
    <mergeCell ref="A1490:B1490"/>
    <mergeCell ref="A1498:B1498"/>
    <mergeCell ref="A1506:B1506"/>
    <mergeCell ref="A1514:B1514"/>
    <mergeCell ref="D1488:E1488"/>
    <mergeCell ref="D1495:E1495"/>
    <mergeCell ref="D1514:E1514"/>
    <mergeCell ref="A1419:B1419"/>
    <mergeCell ref="A1426:B1426"/>
    <mergeCell ref="A1433:B1433"/>
    <mergeCell ref="D1459:E1459"/>
    <mergeCell ref="D1467:E1467"/>
    <mergeCell ref="D1474:E1474"/>
    <mergeCell ref="D1481:E1481"/>
    <mergeCell ref="G1318:H1318"/>
    <mergeCell ref="G1326:H1326"/>
    <mergeCell ref="G1436:H1436"/>
    <mergeCell ref="D1436:E1436"/>
    <mergeCell ref="D1420:E1420"/>
    <mergeCell ref="D1428:E1428"/>
    <mergeCell ref="G1429:H1429"/>
    <mergeCell ref="G1421:H1421"/>
    <mergeCell ref="G1358:H1358"/>
    <mergeCell ref="G1334:H1334"/>
    <mergeCell ref="G1342:H1342"/>
    <mergeCell ref="G1413:H1413"/>
    <mergeCell ref="G1279:H1279"/>
    <mergeCell ref="G1287:H1287"/>
    <mergeCell ref="G1295:H1295"/>
    <mergeCell ref="G1350:H1350"/>
    <mergeCell ref="G1302:H1302"/>
    <mergeCell ref="G1310:H1310"/>
    <mergeCell ref="G1255:H1255"/>
    <mergeCell ref="G1263:H1263"/>
    <mergeCell ref="D1287:E1287"/>
    <mergeCell ref="D1295:E1295"/>
    <mergeCell ref="G1271:H1271"/>
    <mergeCell ref="D1255:E1255"/>
    <mergeCell ref="D1263:E1263"/>
    <mergeCell ref="D1271:E1271"/>
    <mergeCell ref="D1279:E1279"/>
    <mergeCell ref="A1255:B1255"/>
    <mergeCell ref="A1263:B1263"/>
    <mergeCell ref="A1271:B1271"/>
    <mergeCell ref="A1279:B1279"/>
    <mergeCell ref="A1287:B1287"/>
    <mergeCell ref="A1295:B1295"/>
    <mergeCell ref="D1248:E1248"/>
    <mergeCell ref="G1192:H1192"/>
    <mergeCell ref="G1200:H1200"/>
    <mergeCell ref="G1208:H1208"/>
    <mergeCell ref="G1216:H1216"/>
    <mergeCell ref="G1224:H1224"/>
    <mergeCell ref="G1231:H1231"/>
    <mergeCell ref="G1239:H1239"/>
    <mergeCell ref="G1247:H1247"/>
    <mergeCell ref="D1200:E1200"/>
    <mergeCell ref="D1208:E1208"/>
    <mergeCell ref="D1216:E1216"/>
    <mergeCell ref="D1224:E1224"/>
    <mergeCell ref="D1232:E1232"/>
    <mergeCell ref="D1240:E1240"/>
    <mergeCell ref="A1207:B1207"/>
    <mergeCell ref="A1215:B1215"/>
    <mergeCell ref="A1223:B1223"/>
    <mergeCell ref="A1231:B1231"/>
    <mergeCell ref="A1239:B1239"/>
    <mergeCell ref="A1247:B1247"/>
    <mergeCell ref="G1176:H1176"/>
    <mergeCell ref="G1184:H1184"/>
    <mergeCell ref="A1192:B1192"/>
    <mergeCell ref="D1185:E1185"/>
    <mergeCell ref="D1177:E1177"/>
    <mergeCell ref="A1199:B1199"/>
    <mergeCell ref="D1192:E1192"/>
    <mergeCell ref="G927:H927"/>
    <mergeCell ref="G935:H935"/>
    <mergeCell ref="A942:B942"/>
    <mergeCell ref="A950:B950"/>
    <mergeCell ref="A958:B958"/>
    <mergeCell ref="A966:B966"/>
    <mergeCell ref="G879:H879"/>
    <mergeCell ref="G887:H887"/>
    <mergeCell ref="G895:H895"/>
    <mergeCell ref="G903:H903"/>
    <mergeCell ref="G911:H911"/>
    <mergeCell ref="G919:H919"/>
    <mergeCell ref="A927:B927"/>
    <mergeCell ref="A935:B935"/>
    <mergeCell ref="D879:E879"/>
    <mergeCell ref="D887:E887"/>
    <mergeCell ref="D895:E895"/>
    <mergeCell ref="D903:E903"/>
    <mergeCell ref="D911:E911"/>
    <mergeCell ref="D919:E919"/>
    <mergeCell ref="D926:E926"/>
    <mergeCell ref="D934:E934"/>
    <mergeCell ref="A879:B879"/>
    <mergeCell ref="A887:B887"/>
    <mergeCell ref="A895:B895"/>
    <mergeCell ref="A903:B903"/>
    <mergeCell ref="A911:B911"/>
    <mergeCell ref="A919:B919"/>
    <mergeCell ref="D871:E871"/>
    <mergeCell ref="G817:H817"/>
    <mergeCell ref="G825:H825"/>
    <mergeCell ref="G832:H832"/>
    <mergeCell ref="G839:H839"/>
    <mergeCell ref="G846:H846"/>
    <mergeCell ref="G853:H853"/>
    <mergeCell ref="G861:H861"/>
    <mergeCell ref="G869:H869"/>
    <mergeCell ref="A857:B857"/>
    <mergeCell ref="A864:B864"/>
    <mergeCell ref="A871:B871"/>
    <mergeCell ref="D817:E817"/>
    <mergeCell ref="D824:E824"/>
    <mergeCell ref="D831:E831"/>
    <mergeCell ref="D839:E839"/>
    <mergeCell ref="D847:E847"/>
    <mergeCell ref="D855:E855"/>
    <mergeCell ref="D863:E863"/>
    <mergeCell ref="G810:H810"/>
    <mergeCell ref="A817:B817"/>
    <mergeCell ref="A825:B825"/>
    <mergeCell ref="A833:B833"/>
    <mergeCell ref="A841:B841"/>
    <mergeCell ref="A849:B849"/>
    <mergeCell ref="D799:E799"/>
    <mergeCell ref="D807:E807"/>
    <mergeCell ref="G754:H754"/>
    <mergeCell ref="G762:H762"/>
    <mergeCell ref="G770:H770"/>
    <mergeCell ref="G778:H778"/>
    <mergeCell ref="G786:H786"/>
    <mergeCell ref="G794:H794"/>
    <mergeCell ref="G802:H802"/>
    <mergeCell ref="A782:B782"/>
    <mergeCell ref="A790:B790"/>
    <mergeCell ref="A797:B797"/>
    <mergeCell ref="A805:B805"/>
    <mergeCell ref="D754:E754"/>
    <mergeCell ref="D762:E762"/>
    <mergeCell ref="D769:E769"/>
    <mergeCell ref="D776:E776"/>
    <mergeCell ref="D784:E784"/>
    <mergeCell ref="D791:E791"/>
    <mergeCell ref="A754:B754"/>
    <mergeCell ref="A761:B761"/>
    <mergeCell ref="G720:H720"/>
    <mergeCell ref="G727:H727"/>
    <mergeCell ref="G735:H735"/>
    <mergeCell ref="G743:H743"/>
    <mergeCell ref="D723:E723"/>
    <mergeCell ref="D730:E730"/>
    <mergeCell ref="D738:E738"/>
    <mergeCell ref="D746:E746"/>
    <mergeCell ref="A731:B731"/>
    <mergeCell ref="A738:B738"/>
    <mergeCell ref="A745:B745"/>
    <mergeCell ref="D691:E691"/>
    <mergeCell ref="D699:E699"/>
    <mergeCell ref="D707:E707"/>
    <mergeCell ref="D715:E715"/>
    <mergeCell ref="G681:H681"/>
    <mergeCell ref="A691:B691"/>
    <mergeCell ref="A699:B699"/>
    <mergeCell ref="A707:B707"/>
    <mergeCell ref="A715:B715"/>
    <mergeCell ref="A723:B723"/>
    <mergeCell ref="G691:H691"/>
    <mergeCell ref="G698:H698"/>
    <mergeCell ref="G706:H706"/>
    <mergeCell ref="G713:H713"/>
    <mergeCell ref="D668:E668"/>
    <mergeCell ref="D676:E676"/>
    <mergeCell ref="D684:E684"/>
    <mergeCell ref="G629:H629"/>
    <mergeCell ref="G637:H637"/>
    <mergeCell ref="G644:H644"/>
    <mergeCell ref="G651:H651"/>
    <mergeCell ref="G659:H659"/>
    <mergeCell ref="G667:H667"/>
    <mergeCell ref="G674:H674"/>
    <mergeCell ref="A652:B652"/>
    <mergeCell ref="A659:B659"/>
    <mergeCell ref="A666:B666"/>
    <mergeCell ref="A674:B674"/>
    <mergeCell ref="A682:B682"/>
    <mergeCell ref="D629:E629"/>
    <mergeCell ref="D637:E637"/>
    <mergeCell ref="D645:E645"/>
    <mergeCell ref="D652:E652"/>
    <mergeCell ref="D660:E660"/>
    <mergeCell ref="G603:H603"/>
    <mergeCell ref="G610:H610"/>
    <mergeCell ref="G618:H618"/>
    <mergeCell ref="A629:B629"/>
    <mergeCell ref="A637:B637"/>
    <mergeCell ref="A645:B645"/>
    <mergeCell ref="D596:E596"/>
    <mergeCell ref="D603:E603"/>
    <mergeCell ref="D610:E610"/>
    <mergeCell ref="D618:E618"/>
    <mergeCell ref="A597:B597"/>
    <mergeCell ref="G567:H567"/>
    <mergeCell ref="G574:H574"/>
    <mergeCell ref="G581:H581"/>
    <mergeCell ref="G589:H589"/>
    <mergeCell ref="G596:H596"/>
    <mergeCell ref="A619:B619"/>
    <mergeCell ref="A567:B567"/>
    <mergeCell ref="A575:B575"/>
    <mergeCell ref="A582:B582"/>
    <mergeCell ref="A589:B589"/>
    <mergeCell ref="A627:B627"/>
    <mergeCell ref="G535:H535"/>
    <mergeCell ref="G542:H542"/>
    <mergeCell ref="G549:H549"/>
    <mergeCell ref="G556:H556"/>
    <mergeCell ref="A604:B604"/>
    <mergeCell ref="A611:B611"/>
    <mergeCell ref="D567:E567"/>
    <mergeCell ref="D574:E574"/>
    <mergeCell ref="D582:E582"/>
    <mergeCell ref="D589:E589"/>
    <mergeCell ref="A556:B556"/>
    <mergeCell ref="D505:E505"/>
    <mergeCell ref="D513:E513"/>
    <mergeCell ref="D520:E520"/>
    <mergeCell ref="D527:E527"/>
    <mergeCell ref="D534:E534"/>
    <mergeCell ref="D542:E542"/>
    <mergeCell ref="D549:E549"/>
    <mergeCell ref="D556:E556"/>
    <mergeCell ref="A528:B528"/>
    <mergeCell ref="A541:B541"/>
    <mergeCell ref="A549:B549"/>
    <mergeCell ref="G497:H497"/>
    <mergeCell ref="A505:B505"/>
    <mergeCell ref="A513:B513"/>
    <mergeCell ref="A520:B520"/>
    <mergeCell ref="A499:B499"/>
    <mergeCell ref="G505:H505"/>
    <mergeCell ref="G512:H512"/>
    <mergeCell ref="G520:H520"/>
    <mergeCell ref="G466:H466"/>
    <mergeCell ref="G473:H473"/>
    <mergeCell ref="G481:H481"/>
    <mergeCell ref="G489:H489"/>
    <mergeCell ref="A534:B534"/>
    <mergeCell ref="G527:H527"/>
    <mergeCell ref="D473:E473"/>
    <mergeCell ref="D481:E481"/>
    <mergeCell ref="D488:E488"/>
    <mergeCell ref="D496:E496"/>
    <mergeCell ref="A467:B467"/>
    <mergeCell ref="A475:B475"/>
    <mergeCell ref="A483:B483"/>
    <mergeCell ref="A491:B491"/>
    <mergeCell ref="D451:E451"/>
    <mergeCell ref="D458:E458"/>
    <mergeCell ref="D465:E465"/>
    <mergeCell ref="A451:B451"/>
    <mergeCell ref="A459:B459"/>
    <mergeCell ref="G443:H443"/>
    <mergeCell ref="G451:H451"/>
    <mergeCell ref="G459:H459"/>
    <mergeCell ref="A433:B433"/>
    <mergeCell ref="D436:E436"/>
    <mergeCell ref="D443:E443"/>
    <mergeCell ref="G402:H402"/>
    <mergeCell ref="G410:H410"/>
    <mergeCell ref="G418:H418"/>
    <mergeCell ref="G425:H425"/>
    <mergeCell ref="G433:H433"/>
    <mergeCell ref="A443:B443"/>
    <mergeCell ref="D315:E315"/>
    <mergeCell ref="D322:E322"/>
    <mergeCell ref="D366:E366"/>
    <mergeCell ref="D359:E359"/>
    <mergeCell ref="D351:E351"/>
    <mergeCell ref="D344:E344"/>
    <mergeCell ref="D337:E337"/>
    <mergeCell ref="D330:E330"/>
    <mergeCell ref="A315:B315"/>
    <mergeCell ref="A323:B323"/>
    <mergeCell ref="A331:B331"/>
    <mergeCell ref="A339:B339"/>
    <mergeCell ref="A347:B347"/>
    <mergeCell ref="A355:B355"/>
    <mergeCell ref="G269:H269"/>
    <mergeCell ref="G277:H277"/>
    <mergeCell ref="G285:H285"/>
    <mergeCell ref="G293:H293"/>
    <mergeCell ref="G299:H299"/>
    <mergeCell ref="G307:H307"/>
    <mergeCell ref="A307:B307"/>
    <mergeCell ref="D253:E253"/>
    <mergeCell ref="D261:E261"/>
    <mergeCell ref="D268:E268"/>
    <mergeCell ref="D276:E276"/>
    <mergeCell ref="D284:E284"/>
    <mergeCell ref="D291:E291"/>
    <mergeCell ref="D298:E298"/>
    <mergeCell ref="D305:E305"/>
    <mergeCell ref="A277:B277"/>
    <mergeCell ref="A284:B284"/>
    <mergeCell ref="A292:B292"/>
    <mergeCell ref="A300:B300"/>
    <mergeCell ref="A253:B253"/>
    <mergeCell ref="A261:B261"/>
    <mergeCell ref="A268:B268"/>
    <mergeCell ref="A269:B269"/>
    <mergeCell ref="I43:J43"/>
    <mergeCell ref="I44:J44"/>
    <mergeCell ref="G6:H6"/>
    <mergeCell ref="G13:H13"/>
    <mergeCell ref="G20:H20"/>
    <mergeCell ref="G27:H27"/>
    <mergeCell ref="G28:H28"/>
    <mergeCell ref="G35:H35"/>
    <mergeCell ref="G36:H36"/>
    <mergeCell ref="G43:H43"/>
    <mergeCell ref="I13:J13"/>
    <mergeCell ref="I20:J20"/>
    <mergeCell ref="I28:J28"/>
    <mergeCell ref="I29:J29"/>
    <mergeCell ref="I36:J36"/>
    <mergeCell ref="I37:J37"/>
    <mergeCell ref="A33:B33"/>
    <mergeCell ref="D35:E35"/>
    <mergeCell ref="D19:E19"/>
    <mergeCell ref="D27:E27"/>
    <mergeCell ref="I21:J21"/>
    <mergeCell ref="D6:E6"/>
    <mergeCell ref="D12:E12"/>
    <mergeCell ref="A12:B12"/>
    <mergeCell ref="A6:B6"/>
    <mergeCell ref="I6:J6"/>
    <mergeCell ref="A49:B49"/>
    <mergeCell ref="G62:H62"/>
    <mergeCell ref="G70:H70"/>
    <mergeCell ref="A18:B18"/>
    <mergeCell ref="G51:H51"/>
    <mergeCell ref="G44:H44"/>
    <mergeCell ref="G50:H50"/>
    <mergeCell ref="D43:E43"/>
    <mergeCell ref="A41:B41"/>
    <mergeCell ref="A25:B25"/>
    <mergeCell ref="A77:B77"/>
    <mergeCell ref="D58:E58"/>
    <mergeCell ref="D50:E50"/>
    <mergeCell ref="A55:B55"/>
    <mergeCell ref="A62:B62"/>
    <mergeCell ref="D62:E62"/>
    <mergeCell ref="D70:E70"/>
    <mergeCell ref="A70:B70"/>
    <mergeCell ref="D78:E78"/>
    <mergeCell ref="D86:E86"/>
    <mergeCell ref="G78:H78"/>
    <mergeCell ref="G86:H86"/>
    <mergeCell ref="A85:B85"/>
    <mergeCell ref="A93:B93"/>
    <mergeCell ref="G94:H94"/>
    <mergeCell ref="G102:H102"/>
    <mergeCell ref="A149:B149"/>
    <mergeCell ref="A157:B157"/>
    <mergeCell ref="D94:E94"/>
    <mergeCell ref="D101:E101"/>
    <mergeCell ref="D108:E108"/>
    <mergeCell ref="D115:E115"/>
    <mergeCell ref="A101:B101"/>
    <mergeCell ref="A109:B109"/>
    <mergeCell ref="A164:B164"/>
    <mergeCell ref="G110:H110"/>
    <mergeCell ref="G117:H117"/>
    <mergeCell ref="A125:B125"/>
    <mergeCell ref="A133:B133"/>
    <mergeCell ref="A117:B117"/>
    <mergeCell ref="A171:B171"/>
    <mergeCell ref="A179:B179"/>
    <mergeCell ref="D125:E125"/>
    <mergeCell ref="D133:E133"/>
    <mergeCell ref="D141:E141"/>
    <mergeCell ref="D149:E149"/>
    <mergeCell ref="D157:E157"/>
    <mergeCell ref="D165:E165"/>
    <mergeCell ref="D173:E173"/>
    <mergeCell ref="A141:B141"/>
    <mergeCell ref="D181:E181"/>
    <mergeCell ref="G125:H125"/>
    <mergeCell ref="G133:H133"/>
    <mergeCell ref="G140:H140"/>
    <mergeCell ref="G147:H147"/>
    <mergeCell ref="G155:H155"/>
    <mergeCell ref="G163:H163"/>
    <mergeCell ref="G171:H171"/>
    <mergeCell ref="G179:H179"/>
    <mergeCell ref="A221:B221"/>
    <mergeCell ref="A229:B229"/>
    <mergeCell ref="A237:B237"/>
    <mergeCell ref="A245:B245"/>
    <mergeCell ref="A190:B190"/>
    <mergeCell ref="A198:B198"/>
    <mergeCell ref="A205:B205"/>
    <mergeCell ref="A213:B213"/>
    <mergeCell ref="D235:E235"/>
    <mergeCell ref="D243:E243"/>
    <mergeCell ref="D190:E190"/>
    <mergeCell ref="D197:E197"/>
    <mergeCell ref="D204:E204"/>
    <mergeCell ref="D212:E212"/>
    <mergeCell ref="G190:H190"/>
    <mergeCell ref="G198:H198"/>
    <mergeCell ref="G206:H206"/>
    <mergeCell ref="G214:H214"/>
    <mergeCell ref="D220:E220"/>
    <mergeCell ref="D227:E227"/>
    <mergeCell ref="G315:H315"/>
    <mergeCell ref="G323:H323"/>
    <mergeCell ref="G330:H330"/>
    <mergeCell ref="G338:H338"/>
    <mergeCell ref="G222:H222"/>
    <mergeCell ref="G230:H230"/>
    <mergeCell ref="G238:H238"/>
    <mergeCell ref="G246:H246"/>
    <mergeCell ref="G253:H253"/>
    <mergeCell ref="G261:H261"/>
    <mergeCell ref="A378:B378"/>
    <mergeCell ref="A386:B386"/>
    <mergeCell ref="A394:B394"/>
    <mergeCell ref="A402:B402"/>
    <mergeCell ref="G346:H346"/>
    <mergeCell ref="G353:H353"/>
    <mergeCell ref="G361:H361"/>
    <mergeCell ref="G369:H369"/>
    <mergeCell ref="A363:B363"/>
    <mergeCell ref="A370:B370"/>
    <mergeCell ref="A409:B409"/>
    <mergeCell ref="A417:B417"/>
    <mergeCell ref="A425:B425"/>
    <mergeCell ref="D407:E407"/>
    <mergeCell ref="D414:E414"/>
    <mergeCell ref="D421:E421"/>
    <mergeCell ref="A768:B768"/>
    <mergeCell ref="A775:B775"/>
    <mergeCell ref="G378:H378"/>
    <mergeCell ref="G386:H386"/>
    <mergeCell ref="G394:H394"/>
    <mergeCell ref="D400:E400"/>
    <mergeCell ref="D378:E378"/>
    <mergeCell ref="D385:E385"/>
    <mergeCell ref="D393:E393"/>
    <mergeCell ref="D428:E428"/>
    <mergeCell ref="D982:E982"/>
    <mergeCell ref="D990:E990"/>
    <mergeCell ref="A998:B998"/>
    <mergeCell ref="A974:B974"/>
    <mergeCell ref="A982:B982"/>
    <mergeCell ref="A990:B990"/>
    <mergeCell ref="G942:H942"/>
    <mergeCell ref="G950:H950"/>
    <mergeCell ref="G958:H958"/>
    <mergeCell ref="D966:E966"/>
    <mergeCell ref="D942:E942"/>
    <mergeCell ref="D950:E950"/>
    <mergeCell ref="D958:E958"/>
    <mergeCell ref="G965:H965"/>
    <mergeCell ref="G973:H973"/>
    <mergeCell ref="G981:H981"/>
    <mergeCell ref="G989:H989"/>
    <mergeCell ref="A1037:B1037"/>
    <mergeCell ref="A1029:B1029"/>
    <mergeCell ref="G1037:H1037"/>
    <mergeCell ref="G1005:H1005"/>
    <mergeCell ref="G1013:H1013"/>
    <mergeCell ref="G1021:H1021"/>
    <mergeCell ref="D974:E974"/>
    <mergeCell ref="A1044:B1044"/>
    <mergeCell ref="A1052:B1052"/>
    <mergeCell ref="G997:H997"/>
    <mergeCell ref="A1005:B1005"/>
    <mergeCell ref="A1013:B1013"/>
    <mergeCell ref="A1021:B1021"/>
    <mergeCell ref="D998:E998"/>
    <mergeCell ref="D1005:E1005"/>
    <mergeCell ref="D1013:E1013"/>
    <mergeCell ref="D1021:E1021"/>
    <mergeCell ref="G1045:H1045"/>
    <mergeCell ref="G1052:H1052"/>
    <mergeCell ref="D1029:E1029"/>
    <mergeCell ref="D1037:E1037"/>
    <mergeCell ref="D1044:E1044"/>
    <mergeCell ref="D1052:E1052"/>
    <mergeCell ref="G1029:H1029"/>
    <mergeCell ref="G1060:H1060"/>
    <mergeCell ref="A1083:B1083"/>
    <mergeCell ref="A1091:B1091"/>
    <mergeCell ref="A1099:B1099"/>
    <mergeCell ref="D1060:E1060"/>
    <mergeCell ref="A1067:B1067"/>
    <mergeCell ref="A1075:B1075"/>
    <mergeCell ref="A1060:B1060"/>
    <mergeCell ref="A1107:B1107"/>
    <mergeCell ref="A1115:B1115"/>
    <mergeCell ref="D1067:E1067"/>
    <mergeCell ref="D1075:E1075"/>
    <mergeCell ref="D1083:E1083"/>
    <mergeCell ref="D1090:E1090"/>
    <mergeCell ref="D1098:E1098"/>
    <mergeCell ref="D1106:E1106"/>
    <mergeCell ref="D1114:E1114"/>
    <mergeCell ref="D1122:E1122"/>
    <mergeCell ref="G1067:H1067"/>
    <mergeCell ref="G1075:H1075"/>
    <mergeCell ref="G1083:H1083"/>
    <mergeCell ref="G1091:H1091"/>
    <mergeCell ref="G1099:H1099"/>
    <mergeCell ref="G1107:H1107"/>
    <mergeCell ref="G1114:H1114"/>
    <mergeCell ref="G1122:H1122"/>
    <mergeCell ref="A1176:B1176"/>
    <mergeCell ref="A1184:B1184"/>
    <mergeCell ref="A1129:B1129"/>
    <mergeCell ref="A1136:B1136"/>
    <mergeCell ref="A1144:B1144"/>
    <mergeCell ref="A1152:B1152"/>
    <mergeCell ref="D1129:E1129"/>
    <mergeCell ref="D1137:E1137"/>
    <mergeCell ref="D1145:E1145"/>
    <mergeCell ref="G1129:H1129"/>
    <mergeCell ref="A1160:B1160"/>
    <mergeCell ref="A1168:B1168"/>
    <mergeCell ref="D1153:E1153"/>
    <mergeCell ref="D1161:E1161"/>
    <mergeCell ref="D1169:E1169"/>
    <mergeCell ref="G1137:H1137"/>
    <mergeCell ref="G1145:H1145"/>
    <mergeCell ref="G1152:H1152"/>
    <mergeCell ref="G1160:H1160"/>
    <mergeCell ref="G1168:H1168"/>
    <mergeCell ref="A1318:B1318"/>
    <mergeCell ref="A1326:B1326"/>
    <mergeCell ref="D1302:E1302"/>
    <mergeCell ref="D1309:E1309"/>
    <mergeCell ref="D1318:E1318"/>
    <mergeCell ref="D1326:E1326"/>
    <mergeCell ref="A1302:B1302"/>
    <mergeCell ref="A1310:B1310"/>
    <mergeCell ref="A1334:B1334"/>
    <mergeCell ref="A1342:B1342"/>
    <mergeCell ref="A1350:B1350"/>
    <mergeCell ref="A1358:B1358"/>
    <mergeCell ref="D1388:E1388"/>
    <mergeCell ref="D1396:E1396"/>
    <mergeCell ref="D1334:E1334"/>
    <mergeCell ref="D1342:E1342"/>
    <mergeCell ref="D1350:E1350"/>
    <mergeCell ref="D1358:E1358"/>
    <mergeCell ref="D1366:E1366"/>
    <mergeCell ref="D1374:E1374"/>
    <mergeCell ref="D1381:E1381"/>
    <mergeCell ref="D1404:E1404"/>
    <mergeCell ref="A1412:B1412"/>
    <mergeCell ref="G1366:H1366"/>
    <mergeCell ref="G1373:H1373"/>
    <mergeCell ref="A1381:B1381"/>
    <mergeCell ref="A1389:B1389"/>
    <mergeCell ref="A1366:B1366"/>
    <mergeCell ref="A1374:B1374"/>
    <mergeCell ref="D1412:E1412"/>
    <mergeCell ref="A1396:B1396"/>
    <mergeCell ref="A1404:B1404"/>
    <mergeCell ref="A1615:B1615"/>
    <mergeCell ref="D1625:E1625"/>
    <mergeCell ref="A1623:B1623"/>
    <mergeCell ref="G1601:H1601"/>
    <mergeCell ref="G1609:H1609"/>
    <mergeCell ref="G1617:H1617"/>
    <mergeCell ref="G1625:H1625"/>
    <mergeCell ref="D1609:E1609"/>
    <mergeCell ref="D1617:E1617"/>
    <mergeCell ref="G1679:H1679"/>
    <mergeCell ref="A1640:B1640"/>
    <mergeCell ref="A1648:B1648"/>
    <mergeCell ref="G1655:H1655"/>
    <mergeCell ref="A1656:B1656"/>
    <mergeCell ref="D1640:E1640"/>
    <mergeCell ref="D1656:E1656"/>
    <mergeCell ref="D1648:E1648"/>
    <mergeCell ref="A1664:B1664"/>
    <mergeCell ref="A1672:B1672"/>
    <mergeCell ref="G1632:H1632"/>
    <mergeCell ref="G1639:H1639"/>
    <mergeCell ref="G1647:H1647"/>
    <mergeCell ref="D1632:E1632"/>
    <mergeCell ref="D1664:E1664"/>
    <mergeCell ref="D1671:E1671"/>
    <mergeCell ref="G1663:H1663"/>
    <mergeCell ref="G1671:H1671"/>
    <mergeCell ref="G1687:H1687"/>
    <mergeCell ref="A1726:B1726"/>
    <mergeCell ref="A1734:B1734"/>
    <mergeCell ref="A1742:B1742"/>
    <mergeCell ref="D1694:E1694"/>
    <mergeCell ref="D1702:E1702"/>
    <mergeCell ref="A1694:B1694"/>
    <mergeCell ref="A1702:B1702"/>
    <mergeCell ref="A1710:B1710"/>
    <mergeCell ref="A1718:B1718"/>
    <mergeCell ref="G1694:H1694"/>
    <mergeCell ref="G1702:H1702"/>
    <mergeCell ref="G1710:H1710"/>
    <mergeCell ref="D1710:E1710"/>
    <mergeCell ref="D1717:E1717"/>
    <mergeCell ref="D1725:E1725"/>
    <mergeCell ref="G1718:H1718"/>
    <mergeCell ref="G1726:H1726"/>
    <mergeCell ref="G1734:H1734"/>
    <mergeCell ref="G1742:H1742"/>
    <mergeCell ref="G1750:H1750"/>
    <mergeCell ref="D1739:E1739"/>
    <mergeCell ref="D1746:E1746"/>
    <mergeCell ref="D1732:E1732"/>
    <mergeCell ref="D1678:E1678"/>
    <mergeCell ref="A1466:B1466"/>
    <mergeCell ref="A1757:B1757"/>
    <mergeCell ref="A1765:B1765"/>
    <mergeCell ref="A1773:B1773"/>
    <mergeCell ref="A1781:B1781"/>
    <mergeCell ref="D1686:E1686"/>
    <mergeCell ref="A1679:B1679"/>
    <mergeCell ref="A1686:B1686"/>
    <mergeCell ref="A1632:B1632"/>
    <mergeCell ref="G1443:H1443"/>
    <mergeCell ref="G1451:H1451"/>
    <mergeCell ref="A1789:B1789"/>
    <mergeCell ref="A1795:B1795"/>
    <mergeCell ref="G1381:H1381"/>
    <mergeCell ref="G1389:H1389"/>
    <mergeCell ref="G1397:H1397"/>
    <mergeCell ref="G1405:H1405"/>
    <mergeCell ref="G1467:H1467"/>
    <mergeCell ref="D1506:E1506"/>
    <mergeCell ref="F1:H1"/>
    <mergeCell ref="F2:H2"/>
    <mergeCell ref="A1:C1"/>
    <mergeCell ref="B3:E3"/>
    <mergeCell ref="G1459:H1459"/>
    <mergeCell ref="A1443:B1443"/>
    <mergeCell ref="A1451:B1451"/>
    <mergeCell ref="A1458:B1458"/>
    <mergeCell ref="D1443:E1443"/>
    <mergeCell ref="D1451:E1451"/>
  </mergeCells>
  <printOptions/>
  <pageMargins left="0.49" right="0.75" top="1" bottom="0.56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Ignacio Bersztein</cp:lastModifiedBy>
  <cp:lastPrinted>2006-08-03T15:37:41Z</cp:lastPrinted>
  <dcterms:created xsi:type="dcterms:W3CDTF">2004-12-31T00:34:17Z</dcterms:created>
  <dcterms:modified xsi:type="dcterms:W3CDTF">2016-07-16T13:38:28Z</dcterms:modified>
  <cp:category/>
  <cp:version/>
  <cp:contentType/>
  <cp:contentStatus/>
</cp:coreProperties>
</file>